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omments2.xml" ContentType="application/vnd.openxmlformats-officedocument.spreadsheetml.comments+xml"/>
  <Override PartName="/xl/charts/chart4.xml" ContentType="application/vnd.openxmlformats-officedocument.drawingml.chart+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defaultThemeVersion="124226"/>
  <bookViews>
    <workbookView xWindow="-15" yWindow="-15" windowWidth="19230" windowHeight="5985"/>
  </bookViews>
  <sheets>
    <sheet name="Info" sheetId="16" r:id="rId1"/>
    <sheet name="Eingabemaske &amp; Liniendia" sheetId="4" r:id="rId2"/>
    <sheet name="Liniendiagramm" sheetId="10" r:id="rId3"/>
    <sheet name="Säulendiagramm" sheetId="7" r:id="rId4"/>
    <sheet name="Eingabemaske &amp; Liniendia (2)" sheetId="14" state="hidden" r:id="rId5"/>
    <sheet name="Tabelle1" sheetId="12" state="hidden" r:id="rId6"/>
    <sheet name="Tabelle1 (2)" sheetId="15" state="hidden" r:id="rId7"/>
    <sheet name="Speicherauffüllung &amp; Entnahme" sheetId="17" r:id="rId8"/>
  </sheets>
  <calcPr calcId="145621"/>
</workbook>
</file>

<file path=xl/calcChain.xml><?xml version="1.0" encoding="utf-8"?>
<calcChain xmlns="http://schemas.openxmlformats.org/spreadsheetml/2006/main">
  <c r="H22" i="4" l="1"/>
  <c r="F22" i="4"/>
  <c r="D22" i="4"/>
  <c r="Q21" i="4"/>
  <c r="Q20" i="4"/>
  <c r="I20" i="4"/>
  <c r="Q19" i="4"/>
  <c r="Q18" i="4"/>
  <c r="I18" i="4"/>
  <c r="Q17" i="4"/>
  <c r="Q16" i="4"/>
  <c r="I16" i="4"/>
  <c r="Q15" i="4"/>
  <c r="Q14" i="4"/>
  <c r="I14" i="4"/>
  <c r="Q13" i="4"/>
  <c r="Q12" i="4"/>
  <c r="I12" i="4"/>
  <c r="Q11" i="4"/>
  <c r="B11" i="4"/>
  <c r="B12" i="4" s="1"/>
  <c r="B13" i="4" s="1"/>
  <c r="B14" i="4" s="1"/>
  <c r="B15" i="4" s="1"/>
  <c r="B16" i="4" s="1"/>
  <c r="B17" i="4" s="1"/>
  <c r="B18" i="4" s="1"/>
  <c r="B19" i="4" s="1"/>
  <c r="B20" i="4" s="1"/>
  <c r="B21" i="4" s="1"/>
  <c r="Q10" i="4"/>
  <c r="I10" i="4"/>
  <c r="B10" i="4"/>
  <c r="J9" i="4"/>
  <c r="J18" i="4" s="1"/>
  <c r="I9" i="4"/>
  <c r="I21" i="4" s="1"/>
  <c r="G9" i="4"/>
  <c r="G20" i="4" s="1"/>
  <c r="E9" i="4"/>
  <c r="E19" i="4" s="1"/>
  <c r="E10" i="4" l="1"/>
  <c r="E22" i="4" s="1"/>
  <c r="E20" i="4"/>
  <c r="E12" i="4"/>
  <c r="E14" i="4"/>
  <c r="E16" i="4"/>
  <c r="E18" i="4"/>
  <c r="G11" i="4"/>
  <c r="J13" i="4"/>
  <c r="G15" i="4"/>
  <c r="J17" i="4"/>
  <c r="G19" i="4"/>
  <c r="J21" i="4"/>
  <c r="G10" i="4"/>
  <c r="I11" i="4"/>
  <c r="I22" i="4" s="1"/>
  <c r="J12" i="4"/>
  <c r="E13" i="4"/>
  <c r="G14" i="4"/>
  <c r="I15" i="4"/>
  <c r="J16" i="4"/>
  <c r="E17" i="4"/>
  <c r="G18" i="4"/>
  <c r="I19" i="4"/>
  <c r="J20" i="4"/>
  <c r="E21" i="4"/>
  <c r="J19" i="4"/>
  <c r="J11" i="4"/>
  <c r="G13" i="4"/>
  <c r="J15" i="4"/>
  <c r="G17" i="4"/>
  <c r="G21" i="4"/>
  <c r="J10" i="4"/>
  <c r="E11" i="4"/>
  <c r="G12" i="4"/>
  <c r="I13" i="4"/>
  <c r="J14" i="4"/>
  <c r="E15" i="4"/>
  <c r="G16" i="4"/>
  <c r="I17" i="4"/>
  <c r="K12" i="14"/>
  <c r="K13" i="14" s="1"/>
  <c r="K14" i="14" s="1"/>
  <c r="K11" i="14"/>
  <c r="K10" i="14"/>
  <c r="K10" i="4" l="1"/>
  <c r="M10" i="4" s="1"/>
  <c r="G22" i="4"/>
  <c r="K11" i="4"/>
  <c r="L11" i="4" s="1"/>
  <c r="J22" i="4"/>
  <c r="L14" i="14"/>
  <c r="K15" i="14"/>
  <c r="L13" i="14"/>
  <c r="L12" i="14"/>
  <c r="H31" i="15"/>
  <c r="L10" i="4" l="1"/>
  <c r="K12" i="4"/>
  <c r="N10" i="4"/>
  <c r="M11" i="4"/>
  <c r="O10" i="4"/>
  <c r="K16" i="14"/>
  <c r="L15" i="14"/>
  <c r="B12" i="14"/>
  <c r="O11" i="4" l="1"/>
  <c r="N11" i="4"/>
  <c r="M12" i="4"/>
  <c r="L12" i="4"/>
  <c r="K13" i="4"/>
  <c r="K17" i="14"/>
  <c r="L16" i="14"/>
  <c r="H12" i="12"/>
  <c r="H11" i="12"/>
  <c r="M13" i="4" l="1"/>
  <c r="O12" i="4"/>
  <c r="N12" i="4"/>
  <c r="L13" i="4"/>
  <c r="K14" i="4"/>
  <c r="K18" i="14"/>
  <c r="L17" i="14"/>
  <c r="K31" i="15"/>
  <c r="K30" i="15"/>
  <c r="L14" i="4" l="1"/>
  <c r="K15" i="4"/>
  <c r="M14" i="4"/>
  <c r="O13" i="4"/>
  <c r="N13" i="4"/>
  <c r="L18" i="14"/>
  <c r="K19" i="14"/>
  <c r="F11" i="15"/>
  <c r="H11" i="15" s="1"/>
  <c r="F10" i="15"/>
  <c r="H10" i="15" s="1"/>
  <c r="F12" i="15"/>
  <c r="H12" i="15" s="1"/>
  <c r="F13" i="15"/>
  <c r="F14" i="15" s="1"/>
  <c r="F15" i="15" s="1"/>
  <c r="F16" i="15" s="1"/>
  <c r="F17" i="15" s="1"/>
  <c r="F18" i="15" s="1"/>
  <c r="F19" i="15" s="1"/>
  <c r="F20" i="15" s="1"/>
  <c r="F21" i="15" s="1"/>
  <c r="H21" i="15" s="1"/>
  <c r="F31" i="15"/>
  <c r="F32" i="15" s="1"/>
  <c r="F30" i="15"/>
  <c r="H30" i="15" s="1"/>
  <c r="F33" i="15"/>
  <c r="K34" i="15" s="1"/>
  <c r="L15" i="4" l="1"/>
  <c r="K16" i="4"/>
  <c r="N14" i="4"/>
  <c r="M15" i="4"/>
  <c r="O14" i="4"/>
  <c r="K20" i="14"/>
  <c r="L19" i="14"/>
  <c r="H32" i="15"/>
  <c r="K33" i="15"/>
  <c r="K32" i="15"/>
  <c r="F34" i="15"/>
  <c r="K35" i="15" s="1"/>
  <c r="H33" i="15"/>
  <c r="H17" i="15"/>
  <c r="H13" i="15"/>
  <c r="H20" i="15"/>
  <c r="H16" i="15"/>
  <c r="H19" i="15"/>
  <c r="H15" i="15"/>
  <c r="H18" i="15"/>
  <c r="H14" i="15"/>
  <c r="L16" i="4" l="1"/>
  <c r="K17" i="4"/>
  <c r="O15" i="4"/>
  <c r="N15" i="4"/>
  <c r="M16" i="4"/>
  <c r="K21" i="14"/>
  <c r="L21" i="14" s="1"/>
  <c r="L20" i="14"/>
  <c r="K36" i="15"/>
  <c r="F35" i="15"/>
  <c r="H34" i="15"/>
  <c r="I22" i="15"/>
  <c r="L17" i="4" l="1"/>
  <c r="K18" i="4"/>
  <c r="M17" i="4"/>
  <c r="O16" i="4"/>
  <c r="N16" i="4"/>
  <c r="F36" i="15"/>
  <c r="K37" i="15" s="1"/>
  <c r="H35" i="15"/>
  <c r="F40" i="12"/>
  <c r="F41" i="12"/>
  <c r="F39" i="12"/>
  <c r="F38" i="12"/>
  <c r="F36" i="12"/>
  <c r="F37" i="12"/>
  <c r="F32" i="12"/>
  <c r="F33" i="12"/>
  <c r="F34" i="12"/>
  <c r="F35" i="12"/>
  <c r="F30" i="12"/>
  <c r="F31" i="12"/>
  <c r="H10" i="12"/>
  <c r="F10" i="12"/>
  <c r="F15" i="12"/>
  <c r="F16" i="12" s="1"/>
  <c r="F17" i="12" s="1"/>
  <c r="F18" i="12" s="1"/>
  <c r="F19" i="12" s="1"/>
  <c r="F20" i="12" s="1"/>
  <c r="F21" i="12" s="1"/>
  <c r="F13" i="12"/>
  <c r="F14" i="12"/>
  <c r="F12" i="12"/>
  <c r="F11" i="12"/>
  <c r="H42" i="12"/>
  <c r="H31" i="12"/>
  <c r="D32" i="12"/>
  <c r="D33" i="12"/>
  <c r="D34" i="12"/>
  <c r="D35" i="12"/>
  <c r="D36" i="12"/>
  <c r="D37" i="12"/>
  <c r="D38" i="12"/>
  <c r="D39" i="12"/>
  <c r="D40" i="12"/>
  <c r="D41" i="12"/>
  <c r="D31" i="12"/>
  <c r="K11" i="12"/>
  <c r="K12" i="12"/>
  <c r="K13" i="12"/>
  <c r="K14" i="12"/>
  <c r="K15" i="12"/>
  <c r="K16" i="12"/>
  <c r="K17" i="12"/>
  <c r="K18" i="12"/>
  <c r="K19" i="12"/>
  <c r="K20" i="12"/>
  <c r="K21" i="12"/>
  <c r="K10" i="12"/>
  <c r="L10" i="12"/>
  <c r="L21" i="12"/>
  <c r="L20" i="12"/>
  <c r="L19" i="12"/>
  <c r="L18" i="12"/>
  <c r="L17" i="12"/>
  <c r="L11" i="12"/>
  <c r="L12" i="12"/>
  <c r="L13" i="12"/>
  <c r="L14" i="12"/>
  <c r="L15" i="12"/>
  <c r="L16" i="12"/>
  <c r="M18" i="4" l="1"/>
  <c r="O17" i="4"/>
  <c r="N17" i="4"/>
  <c r="L18" i="4"/>
  <c r="K19" i="4"/>
  <c r="F37" i="15"/>
  <c r="H36" i="15"/>
  <c r="H13" i="12"/>
  <c r="J11" i="12"/>
  <c r="J12" i="12"/>
  <c r="J13" i="12"/>
  <c r="J10" i="12"/>
  <c r="L19" i="4" l="1"/>
  <c r="K20" i="4"/>
  <c r="N18" i="4"/>
  <c r="M19" i="4"/>
  <c r="O18" i="4"/>
  <c r="H37" i="15"/>
  <c r="F38" i="15"/>
  <c r="K38" i="15"/>
  <c r="K39" i="15" s="1"/>
  <c r="H14" i="12"/>
  <c r="H15" i="12"/>
  <c r="H37" i="12"/>
  <c r="H38" i="12"/>
  <c r="H39" i="12"/>
  <c r="H40" i="12"/>
  <c r="H41" i="12"/>
  <c r="H30" i="12"/>
  <c r="H32" i="12"/>
  <c r="H33" i="12"/>
  <c r="H34" i="12"/>
  <c r="H35" i="12"/>
  <c r="H36" i="12"/>
  <c r="Q11" i="14"/>
  <c r="Q12" i="14"/>
  <c r="Q13" i="14"/>
  <c r="Q14" i="14"/>
  <c r="Q15" i="14"/>
  <c r="Q16" i="14"/>
  <c r="Q17" i="14"/>
  <c r="Q18" i="14"/>
  <c r="Q19" i="14"/>
  <c r="Q20" i="14"/>
  <c r="Q21" i="14"/>
  <c r="L20" i="4" l="1"/>
  <c r="K21" i="4"/>
  <c r="L21" i="4" s="1"/>
  <c r="O19" i="4"/>
  <c r="N19" i="4"/>
  <c r="M20" i="4"/>
  <c r="F39" i="15"/>
  <c r="H38" i="15"/>
  <c r="H16" i="12"/>
  <c r="Q10" i="14"/>
  <c r="M21" i="4" l="1"/>
  <c r="O20" i="4"/>
  <c r="N20" i="4"/>
  <c r="H39" i="15"/>
  <c r="F40" i="15"/>
  <c r="K40" i="15"/>
  <c r="K41" i="15" s="1"/>
  <c r="H17" i="12"/>
  <c r="H22" i="14"/>
  <c r="F22" i="14"/>
  <c r="D22" i="14"/>
  <c r="E21" i="14"/>
  <c r="E19" i="14"/>
  <c r="E17" i="14"/>
  <c r="E15" i="14"/>
  <c r="E13" i="14"/>
  <c r="E11" i="14"/>
  <c r="B11" i="14"/>
  <c r="B13" i="14" s="1"/>
  <c r="B14" i="14" s="1"/>
  <c r="B15" i="14" s="1"/>
  <c r="B16" i="14" s="1"/>
  <c r="B17" i="14" s="1"/>
  <c r="B18" i="14" s="1"/>
  <c r="B19" i="14" s="1"/>
  <c r="B20" i="14" s="1"/>
  <c r="B21" i="14" s="1"/>
  <c r="E10" i="14"/>
  <c r="B10" i="14"/>
  <c r="J9" i="14"/>
  <c r="J10" i="14" s="1"/>
  <c r="I9" i="14"/>
  <c r="G9" i="14"/>
  <c r="E9" i="14"/>
  <c r="E20" i="14" s="1"/>
  <c r="O21" i="4" l="1"/>
  <c r="O22" i="4" s="1"/>
  <c r="N21" i="4"/>
  <c r="N22" i="4" s="1"/>
  <c r="F41" i="15"/>
  <c r="H41" i="15" s="1"/>
  <c r="H40" i="15"/>
  <c r="H42" i="15" s="1"/>
  <c r="H18" i="12"/>
  <c r="J21" i="14"/>
  <c r="J17" i="14"/>
  <c r="J13" i="14"/>
  <c r="J11" i="14"/>
  <c r="J15" i="14"/>
  <c r="J19" i="14"/>
  <c r="G21" i="14"/>
  <c r="G19" i="14"/>
  <c r="G17" i="14"/>
  <c r="G15" i="14"/>
  <c r="G13" i="14"/>
  <c r="G11" i="14"/>
  <c r="G12" i="14"/>
  <c r="G16" i="14"/>
  <c r="G20" i="14"/>
  <c r="I21" i="14"/>
  <c r="I19" i="14"/>
  <c r="I17" i="14"/>
  <c r="I15" i="14"/>
  <c r="I13" i="14"/>
  <c r="I11" i="14"/>
  <c r="I10" i="14"/>
  <c r="I20" i="14"/>
  <c r="I18" i="14"/>
  <c r="I16" i="14"/>
  <c r="I14" i="14"/>
  <c r="I12" i="14"/>
  <c r="G10" i="14"/>
  <c r="G14" i="14"/>
  <c r="G18" i="14"/>
  <c r="J12" i="14"/>
  <c r="J14" i="14"/>
  <c r="J16" i="14"/>
  <c r="J18" i="14"/>
  <c r="J20" i="14"/>
  <c r="E12" i="14"/>
  <c r="E14" i="14"/>
  <c r="E16" i="14"/>
  <c r="E18" i="14"/>
  <c r="D12" i="12"/>
  <c r="D13" i="12"/>
  <c r="J14" i="12" s="1"/>
  <c r="D14" i="12"/>
  <c r="J15" i="12" s="1"/>
  <c r="D15" i="12"/>
  <c r="J16" i="12" s="1"/>
  <c r="D16" i="12"/>
  <c r="J17" i="12" s="1"/>
  <c r="D17" i="12"/>
  <c r="J18" i="12" s="1"/>
  <c r="D18" i="12"/>
  <c r="J19" i="12" s="1"/>
  <c r="D19" i="12"/>
  <c r="J20" i="12" s="1"/>
  <c r="D20" i="12"/>
  <c r="J21" i="12" s="1"/>
  <c r="D21" i="12"/>
  <c r="D11" i="12"/>
  <c r="H22" i="15" l="1"/>
  <c r="H19" i="12"/>
  <c r="G22" i="14"/>
  <c r="M10" i="14"/>
  <c r="E22" i="14"/>
  <c r="J22" i="14"/>
  <c r="I22" i="14"/>
  <c r="N10" i="14" l="1"/>
  <c r="M11" i="14"/>
  <c r="O10" i="14"/>
  <c r="H20" i="12"/>
  <c r="H21" i="12"/>
  <c r="L10" i="14"/>
  <c r="I22" i="12"/>
  <c r="M12" i="14" l="1"/>
  <c r="N11" i="14"/>
  <c r="O11" i="14"/>
  <c r="L11" i="14"/>
  <c r="N12" i="14" l="1"/>
  <c r="O12" i="14"/>
  <c r="M13" i="14"/>
  <c r="N13" i="14" l="1"/>
  <c r="O13" i="14"/>
  <c r="M14" i="14"/>
  <c r="N14" i="14" l="1"/>
  <c r="O14" i="14"/>
  <c r="M15" i="14"/>
  <c r="N15" i="14" s="1"/>
  <c r="O15" i="14" l="1"/>
  <c r="M16" i="14"/>
  <c r="N16" i="14" s="1"/>
  <c r="O16" i="14" l="1"/>
  <c r="M17" i="14"/>
  <c r="N17" i="14" s="1"/>
  <c r="O17" i="14" l="1"/>
  <c r="M18" i="14"/>
  <c r="N18" i="14" s="1"/>
  <c r="H22" i="12"/>
  <c r="O18" i="14" l="1"/>
  <c r="M19" i="14"/>
  <c r="N19" i="14" s="1"/>
  <c r="O19" i="14" l="1"/>
  <c r="M20" i="14"/>
  <c r="N20" i="14" s="1"/>
  <c r="O20" i="14" l="1"/>
  <c r="M21" i="14"/>
  <c r="N21" i="14" s="1"/>
  <c r="O21" i="14" l="1"/>
  <c r="N22" i="14" l="1"/>
  <c r="O22" i="14"/>
</calcChain>
</file>

<file path=xl/comments1.xml><?xml version="1.0" encoding="utf-8"?>
<comments xmlns="http://schemas.openxmlformats.org/spreadsheetml/2006/main">
  <authors>
    <author>René Weiersmüller</author>
  </authors>
  <commentList>
    <comment ref="B8" authorId="0">
      <text>
        <r>
          <rPr>
            <b/>
            <sz val="9"/>
            <color indexed="81"/>
            <rFont val="Tahoma"/>
            <family val="2"/>
          </rPr>
          <t>René Weiersmüller:</t>
        </r>
        <r>
          <rPr>
            <sz val="9"/>
            <color indexed="81"/>
            <rFont val="Tahoma"/>
            <family val="2"/>
          </rPr>
          <t xml:space="preserve">
Aus https://opendata.swiss/de/dataset/fullungsgrad-der-speicherseen-sonntag-24h-wochenbericht-speicherinhalt/resource/0418060b-adef-483d-afc7-bff668cc2759</t>
        </r>
      </text>
    </comment>
    <comment ref="D8" authorId="0">
      <text>
        <r>
          <rPr>
            <b/>
            <sz val="9"/>
            <color indexed="81"/>
            <rFont val="Tahoma"/>
            <family val="2"/>
          </rPr>
          <t>René Weiersmüller:</t>
        </r>
        <r>
          <rPr>
            <sz val="9"/>
            <color indexed="81"/>
            <rFont val="Tahoma"/>
            <family val="2"/>
          </rPr>
          <t xml:space="preserve">
Aus
https://www.bfh.ch/dam/jcr:a8dc1d51-6b77-4fce-b62b-de406bebaf69/2022_08_08_BFH_Photovoltaik-Potenziale_Schweiz.pdf</t>
        </r>
      </text>
    </comment>
    <comment ref="F8" authorId="0">
      <text>
        <r>
          <rPr>
            <b/>
            <sz val="9"/>
            <color indexed="81"/>
            <rFont val="Tahoma"/>
            <charset val="1"/>
          </rPr>
          <t>René Weiersmüller:</t>
        </r>
        <r>
          <rPr>
            <sz val="9"/>
            <color indexed="81"/>
            <rFont val="Tahoma"/>
            <charset val="1"/>
          </rPr>
          <t xml:space="preserve">
Aus
https://www.bfh.ch/dam/jcr:a8dc1d51-6b77-4fce-b62b-de406bebaf69/2022_08_08_BFH_Photovoltaik-Potenziale_Schweiz.pdf</t>
        </r>
      </text>
    </comment>
    <comment ref="A9" authorId="0">
      <text>
        <r>
          <rPr>
            <b/>
            <sz val="9"/>
            <color indexed="81"/>
            <rFont val="Tahoma"/>
            <family val="2"/>
          </rPr>
          <t>René Weiersmüller:</t>
        </r>
        <r>
          <rPr>
            <sz val="9"/>
            <color indexed="81"/>
            <rFont val="Tahoma"/>
            <family val="2"/>
          </rPr>
          <t xml:space="preserve">
30. Sept. 24.00 h geich
01.Okt. 00.00 h
</t>
        </r>
      </text>
    </comment>
  </commentList>
</comments>
</file>

<file path=xl/comments2.xml><?xml version="1.0" encoding="utf-8"?>
<comments xmlns="http://schemas.openxmlformats.org/spreadsheetml/2006/main">
  <authors>
    <author>René Weiersmüller</author>
  </authors>
  <commentList>
    <comment ref="B8" authorId="0">
      <text>
        <r>
          <rPr>
            <b/>
            <sz val="9"/>
            <color indexed="81"/>
            <rFont val="Tahoma"/>
            <family val="2"/>
          </rPr>
          <t>René Weiersmüller:</t>
        </r>
        <r>
          <rPr>
            <sz val="9"/>
            <color indexed="81"/>
            <rFont val="Tahoma"/>
            <family val="2"/>
          </rPr>
          <t xml:space="preserve">
Aus https://opendata.swiss/de/dataset/fullungsgrad-der-speicherseen-sonntag-24h-wochenbericht-speicherinhalt/resource/0418060b-adef-483d-afc7-bff668cc2759</t>
        </r>
      </text>
    </comment>
    <comment ref="D8" authorId="0">
      <text>
        <r>
          <rPr>
            <b/>
            <sz val="9"/>
            <color indexed="81"/>
            <rFont val="Tahoma"/>
            <family val="2"/>
          </rPr>
          <t>René Weiersmüller:</t>
        </r>
        <r>
          <rPr>
            <sz val="9"/>
            <color indexed="81"/>
            <rFont val="Tahoma"/>
            <family val="2"/>
          </rPr>
          <t xml:space="preserve">
Aus
https://www.bfh.ch/dam/jcr:a8dc1d51-6b77-4fce-b62b-de406bebaf69/2022_08_08_BFH_Photovoltaik-Potenziale_Schweiz.pdf</t>
        </r>
      </text>
    </comment>
    <comment ref="F8" authorId="0">
      <text>
        <r>
          <rPr>
            <b/>
            <sz val="9"/>
            <color indexed="81"/>
            <rFont val="Tahoma"/>
            <charset val="1"/>
          </rPr>
          <t>René Weiersmüller:</t>
        </r>
        <r>
          <rPr>
            <sz val="9"/>
            <color indexed="81"/>
            <rFont val="Tahoma"/>
            <charset val="1"/>
          </rPr>
          <t xml:space="preserve">
Aus
https://www.bfh.ch/dam/jcr:a8dc1d51-6b77-4fce-b62b-de406bebaf69/2022_08_08_BFH_Photovoltaik-Potenziale_Schweiz.pdf</t>
        </r>
      </text>
    </comment>
    <comment ref="A9" authorId="0">
      <text>
        <r>
          <rPr>
            <b/>
            <sz val="9"/>
            <color indexed="81"/>
            <rFont val="Tahoma"/>
            <family val="2"/>
          </rPr>
          <t>René Weiersmüller:</t>
        </r>
        <r>
          <rPr>
            <sz val="9"/>
            <color indexed="81"/>
            <rFont val="Tahoma"/>
            <family val="2"/>
          </rPr>
          <t xml:space="preserve">
30. Sept. 24.00 h geich
01.Okt. 00.00 h
</t>
        </r>
      </text>
    </comment>
  </commentList>
</comments>
</file>

<file path=xl/sharedStrings.xml><?xml version="1.0" encoding="utf-8"?>
<sst xmlns="http://schemas.openxmlformats.org/spreadsheetml/2006/main" count="235" uniqueCount="143">
  <si>
    <t>Diff.</t>
  </si>
  <si>
    <t>Mittelland kWh/kWp</t>
  </si>
  <si>
    <t>PV TWh</t>
  </si>
  <si>
    <t>Summe</t>
  </si>
  <si>
    <t>Alpin kWh/kWp</t>
  </si>
  <si>
    <t>Heizung/WW %</t>
  </si>
  <si>
    <t>Heizung/WW TWh</t>
  </si>
  <si>
    <t>Bandverbrauch TWh</t>
  </si>
  <si>
    <t xml:space="preserve"> </t>
  </si>
  <si>
    <t xml:space="preserve">Wichtig: Die Speicherseen können nur soviel Strom speichern, wie dem Wasserzufluss entspricht. </t>
  </si>
  <si>
    <t>PV Alpin TWh</t>
  </si>
  <si>
    <t>GWp</t>
  </si>
  <si>
    <t>TWh/Jahr</t>
  </si>
  <si>
    <t>für Säulendiagramm</t>
  </si>
  <si>
    <t>nicht kum.</t>
  </si>
  <si>
    <t>Zusätzlicher PV-Zubau Mittelland (0 … 10 GWp)</t>
  </si>
  <si>
    <t>Zusätzlicher PV-Zubau Alpin (0 … 10 GWp)</t>
  </si>
  <si>
    <t>Zusätzlicher Jahresverbrauch für Heizung/Warmwasser (0 … 20 TWh/Jahr)</t>
  </si>
  <si>
    <t>Per Ende September 2021:</t>
  </si>
  <si>
    <t>Eingaben:</t>
  </si>
  <si>
    <t>Limiten</t>
  </si>
  <si>
    <t>Speicher Veränderung [TWh]</t>
  </si>
  <si>
    <t>zusätzlicher Export pro Monat</t>
  </si>
  <si>
    <t>zusätzlicher Import pro Monat</t>
  </si>
  <si>
    <t>START</t>
  </si>
  <si>
    <t>V2 13.02.23 Wm</t>
  </si>
  <si>
    <r>
      <t>Beispiele: Zubau von 3 GWp PV-Strom alpin = ~ 15 km</t>
    </r>
    <r>
      <rPr>
        <b/>
        <vertAlign val="superscript"/>
        <sz val="12"/>
        <color theme="1"/>
        <rFont val="Calibri"/>
        <family val="2"/>
        <scheme val="minor"/>
      </rPr>
      <t>2</t>
    </r>
  </si>
  <si>
    <r>
      <t>Zubau von 3 GWp PV-Strom Mittelland = ~ 15 km</t>
    </r>
    <r>
      <rPr>
        <b/>
        <vertAlign val="superscript"/>
        <sz val="12"/>
        <color theme="1"/>
        <rFont val="Calibri"/>
        <family val="2"/>
        <scheme val="minor"/>
      </rPr>
      <t>2</t>
    </r>
  </si>
  <si>
    <t>Interaktives Simulationsmodell der Schweizer Speicherseen für das Hydrologische Jahr 21/22            Provisorisch - Fehler bitte melden.</t>
  </si>
  <si>
    <t>Am Letzten</t>
  </si>
  <si>
    <t>Speicherstand eff. [TWh]</t>
  </si>
  <si>
    <t>Speicherstand neu ohne Limiten</t>
  </si>
  <si>
    <t>Speicherstand neu mit Limiten</t>
  </si>
  <si>
    <t>Monatl. Zunahme</t>
  </si>
  <si>
    <t>begrenzt auf 8.8 ok</t>
  </si>
  <si>
    <t>Vom April bis August sind das etwa 6 - 8 TWh, was die Speicherung von grossen Mengen PV-Strom limitiert.</t>
  </si>
  <si>
    <t>Zusätzlicher Jahresbandverbrauch (Mobilität). Oder negativ --&gt; Sparen sowie bspw. Jahresbanderzeugung AKW (0 … 25 TWh/Jahr)</t>
  </si>
  <si>
    <t>Monat</t>
  </si>
  <si>
    <t>Speicherstand TWh unlim.</t>
  </si>
  <si>
    <t>Max. Speicherstand</t>
  </si>
  <si>
    <t>Min. Speicherstand</t>
  </si>
  <si>
    <t>2.06+0.63=2.70</t>
  </si>
  <si>
    <t>2.70+0.33=3.03</t>
  </si>
  <si>
    <t>0.5+0.83</t>
  </si>
  <si>
    <t>1.33+0.73</t>
  </si>
  <si>
    <t>3.03-0.37=2.66</t>
  </si>
  <si>
    <t>Import</t>
  </si>
  <si>
    <t>Formel ok</t>
  </si>
  <si>
    <t>Manuell</t>
  </si>
  <si>
    <t>wäre ok so</t>
  </si>
  <si>
    <t>OK!</t>
  </si>
  <si>
    <t>Maximum</t>
  </si>
  <si>
    <t xml:space="preserve">Minimum </t>
  </si>
  <si>
    <t>Speicher [TWh]</t>
  </si>
  <si>
    <t>B,G,D,0.5</t>
  </si>
  <si>
    <t>Start 7.4 TWh</t>
  </si>
  <si>
    <t>8 GWh/a Jahres Verbrauch</t>
  </si>
  <si>
    <t xml:space="preserve">Import </t>
  </si>
  <si>
    <t>man. kontr.</t>
  </si>
  <si>
    <t>kontr.aus Diff.</t>
  </si>
  <si>
    <t xml:space="preserve">Speicher manuell </t>
  </si>
  <si>
    <t>Diff. Berechnet</t>
  </si>
  <si>
    <t>3 GWp alpin</t>
  </si>
  <si>
    <t>Spalte K (ohne Limits)</t>
  </si>
  <si>
    <t>Maskenformel</t>
  </si>
  <si>
    <t>Formel</t>
  </si>
  <si>
    <t>Importverlauf</t>
  </si>
  <si>
    <t>Export aus Verlauf ohne Limit</t>
  </si>
  <si>
    <t>Geht selbst bei Rückkehr, 1. Wert schon über dem Limit (??) und unter Minimallimit</t>
  </si>
  <si>
    <t>Aus Exportformel</t>
  </si>
  <si>
    <t>Limits</t>
  </si>
  <si>
    <t>m--&gt; Export aus Verlauf ohne Limit</t>
  </si>
  <si>
    <t>Jetzt drin:</t>
  </si>
  <si>
    <t>0.5  OK</t>
  </si>
  <si>
    <r>
      <t>0.5+0.83=</t>
    </r>
    <r>
      <rPr>
        <b/>
        <sz val="10"/>
        <color theme="1"/>
        <rFont val="Calibri"/>
        <family val="2"/>
        <scheme val="minor"/>
      </rPr>
      <t>1.33 OK</t>
    </r>
  </si>
  <si>
    <r>
      <t>1.33+0.73=</t>
    </r>
    <r>
      <rPr>
        <b/>
        <sz val="10"/>
        <color theme="1"/>
        <rFont val="Calibri"/>
        <family val="2"/>
        <scheme val="minor"/>
      </rPr>
      <t>2.07 OK</t>
    </r>
  </si>
  <si>
    <r>
      <t>2.07+0.63=</t>
    </r>
    <r>
      <rPr>
        <b/>
        <sz val="10"/>
        <color theme="1"/>
        <rFont val="Calibri"/>
        <family val="2"/>
        <scheme val="minor"/>
      </rPr>
      <t>2.70 OK</t>
    </r>
  </si>
  <si>
    <r>
      <t>2.70+0.33=</t>
    </r>
    <r>
      <rPr>
        <b/>
        <sz val="10"/>
        <color theme="1"/>
        <rFont val="Calibri"/>
        <family val="2"/>
        <scheme val="minor"/>
      </rPr>
      <t>3.03 OK</t>
    </r>
  </si>
  <si>
    <r>
      <t>3.03+-0.37=</t>
    </r>
    <r>
      <rPr>
        <b/>
        <sz val="10"/>
        <color theme="1"/>
        <rFont val="Calibri"/>
        <family val="2"/>
        <scheme val="minor"/>
      </rPr>
      <t>2.66 OK</t>
    </r>
  </si>
  <si>
    <t>Variante Import ANPASSEN</t>
  </si>
  <si>
    <t>WENN(B30&lt;$C$23;0;WENN((B29-$C$23)&lt;0;B30-$C$23;B30-B29))</t>
  </si>
  <si>
    <t>WENN(B10&gt;$C$24;0;WENN((D9+$C$24)&gt;0;B10+$C$24;B10-B9))</t>
  </si>
  <si>
    <t>Import gestern</t>
  </si>
  <si>
    <t>Verlauf mit Limiten</t>
  </si>
  <si>
    <t>OK</t>
  </si>
  <si>
    <t>Imp heute 1</t>
  </si>
  <si>
    <t>Imp heute 2</t>
  </si>
  <si>
    <t>3. Abfrage</t>
  </si>
  <si>
    <t>Exportverlauf</t>
  </si>
  <si>
    <t>Wäre Zunahme</t>
  </si>
  <si>
    <t>OK! Max, B</t>
  </si>
  <si>
    <t>Aus Verlauf</t>
  </si>
  <si>
    <t>Beide unabhängig</t>
  </si>
  <si>
    <t xml:space="preserve"> --&gt;</t>
  </si>
  <si>
    <t>Min, F, B</t>
  </si>
  <si>
    <t xml:space="preserve"> Min, B, F</t>
  </si>
  <si>
    <t>OK! Bez auf Vorwe</t>
  </si>
  <si>
    <t>Importwert</t>
  </si>
  <si>
    <t>Verlauf bei Ip</t>
  </si>
  <si>
    <t>Verlauf bei Ep</t>
  </si>
  <si>
    <t>Exportwert</t>
  </si>
  <si>
    <t>WENN(B11&gt;=$C$24;B11;WENN((F10+B11-B10)&lt;0;$C$24;F10+B11-B10))</t>
  </si>
  <si>
    <t>WENN(F11&gt;$C$24;0;WENN(B10&gt;$C$24;$C$24-B11;B10-B11))</t>
  </si>
  <si>
    <t>WENN(B31&lt;=$C$23;B31;WENN((F30+B31-B30)&gt;$C$23;$C$23;F30+B31-B30))</t>
  </si>
  <si>
    <t>WENN(F31&lt;$C$23;0;WENN(B30&lt;$C$23;B31-$C$23; B31-B30))</t>
  </si>
  <si>
    <t>Wäre es möglich, aus dem imp und exp Mengen den Verlauf zu berechnen?</t>
  </si>
  <si>
    <t>Export aus Verlauf</t>
  </si>
  <si>
    <t>Import aus Verlauf</t>
  </si>
  <si>
    <t>Formeln ok</t>
  </si>
  <si>
    <t>Manuell ok</t>
  </si>
  <si>
    <t>Bez auf Vorwe</t>
  </si>
  <si>
    <t xml:space="preserve"> Min, B, F, OK! </t>
  </si>
  <si>
    <t>Max, B, F  OK!</t>
  </si>
  <si>
    <t>Max, B, F OK!</t>
  </si>
  <si>
    <t>Min, F, B, OK!</t>
  </si>
  <si>
    <t>S-Stans TWh unlim.</t>
  </si>
  <si>
    <t>8 GWh/a Verbrauch</t>
  </si>
  <si>
    <t>I</t>
  </si>
  <si>
    <t>Verläufe        E</t>
  </si>
  <si>
    <t>WENN(F31&gt;=$C$24;F31;WENN((J30+F31-F30)&lt;0;$C$24;J30+F31-F30))</t>
  </si>
  <si>
    <r>
      <t>Import + Expot für Mangel und Überfluss ist nicht gleichzeitig -</t>
    </r>
    <r>
      <rPr>
        <b/>
        <sz val="10"/>
        <color theme="1"/>
        <rFont val="Calibri"/>
        <family val="2"/>
        <scheme val="minor"/>
      </rPr>
      <t>--&gt; für Verlauf</t>
    </r>
  </si>
  <si>
    <t>Kombiverlauf</t>
  </si>
  <si>
    <t>OKAY</t>
  </si>
  <si>
    <t>Simulationsmodell für die reine Stromspeicherseen der Schweiz</t>
  </si>
  <si>
    <t>Anleitung</t>
  </si>
  <si>
    <t>VORSCHAU</t>
  </si>
  <si>
    <t>V3 26.02.23 Wm</t>
  </si>
  <si>
    <t>V5 22.03.23 Wm</t>
  </si>
  <si>
    <r>
      <rPr>
        <sz val="12"/>
        <color theme="1"/>
        <rFont val="Symbol"/>
        <family val="1"/>
        <charset val="2"/>
      </rPr>
      <t xml:space="preserve">S </t>
    </r>
    <r>
      <rPr>
        <sz val="12"/>
        <color theme="1"/>
        <rFont val="Calibri"/>
        <family val="2"/>
      </rPr>
      <t>Exp/a</t>
    </r>
  </si>
  <si>
    <r>
      <rPr>
        <sz val="12"/>
        <color theme="1"/>
        <rFont val="Symbol"/>
        <family val="1"/>
        <charset val="2"/>
      </rPr>
      <t xml:space="preserve">S </t>
    </r>
    <r>
      <rPr>
        <sz val="12"/>
        <color theme="1"/>
        <rFont val="Calibri"/>
        <family val="2"/>
      </rPr>
      <t>Imp/a</t>
    </r>
  </si>
  <si>
    <t>Reine Stromspeicherseen werden nur durch den Wasserzufluss gespeist. Mangels Zufluss im Winterhalbjahr kann in dieser Zeit folglich kaum Strom gespeichert werden. Durch Verkleinerung der Wasserentnahme zur Verstromung können Solar- und Windstrom im Winter allerdings quasi indirekt gespeichert werden. Anfang April bis Ende August (Schneeschmelze) ist mit einen mittleren Wasserzufluss von entsprechend rund 6 - 8 Terawattstunden (TWh) zurechnen. Dies bei einer Speicherkapazität der Speicherseen von entsprechend 8.8 TWh Strom. Das heisst, mit dem jährlichen Zufluss sind leere Speicherseen üblicherweise nur knapp zu füllen, und dies unabhängig vom Solar-, Windstromanfall oder dem Gratisimport von Überschusstrom.</t>
  </si>
  <si>
    <t xml:space="preserve">Das Modell zeigt die Auswirkungen veränderter Einflussgrössen auf den Füllstand der Speicherseen, ausgehend vom Hydrologischen Jahr 2021/22 mitsamt den </t>
  </si>
  <si>
    <t xml:space="preserve">dann geltenden Parametern. Andere Zeitprioden, andere Basiswerte oder längere Simulationsperioden sind nach Aufhebung der Schreibsperre problemlos </t>
  </si>
  <si>
    <t xml:space="preserve">möglich. Da die reinen Speicherseen nur über den mehr oder weniger natürlichen Zufluss aufgefüllt (= aufgeladen ) werden können, kann der monatliche </t>
  </si>
  <si>
    <t xml:space="preserve">Zuwachs der Speicherinhalte nie grösser sein als der Zufluss. Der Jahreszufluss liegt zwischen entsprechend 6 bis 8 TWh Strom und ist zur Füllung eines im </t>
  </si>
  <si>
    <t xml:space="preserve">Frühling nicht vollständig entleerten Speichers gerade ausreichend. Bei einem im Frühling noch halbvollen Speicher wird schon im Sommer der maximalen </t>
  </si>
  <si>
    <t xml:space="preserve">Füllgrad erreicht. Mit einer "Zwangsverstromung" kann der Speicherüberlauf verhindert  und der (massiv subventionierte) Solarstrom zu den dann ungünstigen </t>
  </si>
  <si>
    <t>Bedingungen im Sommer ins Ausland exportiert werden. Vergleiche auch mit Blatt "Speicherauffüllung &amp; Entnahme".</t>
  </si>
  <si>
    <t xml:space="preserve">Im Blatt "Eingabemaske" können für die vier grün hinterlegten Parameter neue, halbwegs realistische Werte eingegeben werden, welche zu Beginn der </t>
  </si>
  <si>
    <t xml:space="preserve">Maximum- und Minimumlimiten. Rot durchgezogen ist der Verlauf mit den Max- und Minimumlimiten. In zwei weiteren Blättern sind die Verläufe der </t>
  </si>
  <si>
    <t>Speicherfüllgrade nach Linien- und Säulendiagramm dargestellt.</t>
  </si>
  <si>
    <t xml:space="preserve">Simulation gelten sollen. Im Vorschaubild unten rechts wird der ursprüngliche Speicherverlauf blau dargestellt. Rot gestrichelt ist der Verlauf ohne die </t>
  </si>
  <si>
    <t>Maximum Speicher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</si>
</sst>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 #,##0.00_ ;_ * \-#,##0.00_ ;_ * &quot;-&quot;??_ ;_ @_ "/>
    <numFmt numFmtId="164" formatCode="0.0"/>
  </numFmts>
  <fonts count="20" x14ac:knownFonts="1">
    <font>
      <sz val="11"/>
      <color theme="1"/>
      <name val="Calibri"/>
      <family val="2"/>
      <scheme val="minor"/>
    </font>
    <font>
      <sz val="11"/>
      <color theme="1"/>
      <name val="Calibri"/>
      <family val="2"/>
      <scheme val="minor"/>
    </font>
    <font>
      <sz val="10"/>
      <color theme="1"/>
      <name val="Calibri"/>
      <family val="2"/>
      <scheme val="minor"/>
    </font>
    <font>
      <b/>
      <sz val="10"/>
      <color rgb="FFFF0000"/>
      <name val="Calibri"/>
      <family val="2"/>
      <scheme val="minor"/>
    </font>
    <font>
      <b/>
      <sz val="10"/>
      <color rgb="FF0000FF"/>
      <name val="Calibri"/>
      <family val="2"/>
      <scheme val="minor"/>
    </font>
    <font>
      <b/>
      <sz val="9"/>
      <color indexed="81"/>
      <name val="Tahoma"/>
      <family val="2"/>
    </font>
    <font>
      <sz val="9"/>
      <color indexed="81"/>
      <name val="Tahoma"/>
      <family val="2"/>
    </font>
    <font>
      <b/>
      <sz val="9"/>
      <color indexed="81"/>
      <name val="Tahoma"/>
      <charset val="1"/>
    </font>
    <font>
      <sz val="9"/>
      <color indexed="81"/>
      <name val="Tahoma"/>
      <charset val="1"/>
    </font>
    <font>
      <sz val="12"/>
      <color theme="1"/>
      <name val="Calibri"/>
      <family val="2"/>
      <scheme val="minor"/>
    </font>
    <font>
      <b/>
      <sz val="12"/>
      <color theme="1"/>
      <name val="Calibri"/>
      <family val="2"/>
      <scheme val="minor"/>
    </font>
    <font>
      <b/>
      <sz val="14"/>
      <color theme="1"/>
      <name val="Calibri"/>
      <family val="2"/>
      <scheme val="minor"/>
    </font>
    <font>
      <b/>
      <vertAlign val="superscript"/>
      <sz val="12"/>
      <color theme="1"/>
      <name val="Calibri"/>
      <family val="2"/>
      <scheme val="minor"/>
    </font>
    <font>
      <b/>
      <sz val="18"/>
      <color theme="1"/>
      <name val="Calibri"/>
      <family val="2"/>
      <scheme val="minor"/>
    </font>
    <font>
      <b/>
      <sz val="10"/>
      <color theme="1"/>
      <name val="Calibri"/>
      <family val="2"/>
      <scheme val="minor"/>
    </font>
    <font>
      <sz val="10"/>
      <color rgb="FFFF0000"/>
      <name val="Calibri"/>
      <family val="2"/>
      <scheme val="minor"/>
    </font>
    <font>
      <sz val="10"/>
      <name val="Calibri"/>
      <family val="2"/>
      <scheme val="minor"/>
    </font>
    <font>
      <b/>
      <sz val="11"/>
      <color theme="1"/>
      <name val="Calibri"/>
      <family val="2"/>
      <scheme val="minor"/>
    </font>
    <font>
      <sz val="12"/>
      <color theme="1"/>
      <name val="Calibri"/>
      <family val="2"/>
    </font>
    <font>
      <sz val="12"/>
      <color theme="1"/>
      <name val="Symbol"/>
      <family val="1"/>
      <charset val="2"/>
    </font>
  </fonts>
  <fills count="10">
    <fill>
      <patternFill patternType="none"/>
    </fill>
    <fill>
      <patternFill patternType="gray125"/>
    </fill>
    <fill>
      <patternFill patternType="solid">
        <fgColor rgb="FF00FF99"/>
        <bgColor indexed="64"/>
      </patternFill>
    </fill>
    <fill>
      <patternFill patternType="solid">
        <fgColor rgb="FFFFFF00"/>
        <bgColor indexed="64"/>
      </patternFill>
    </fill>
    <fill>
      <patternFill patternType="solid">
        <fgColor rgb="FF99CCFF"/>
        <bgColor indexed="64"/>
      </patternFill>
    </fill>
    <fill>
      <patternFill patternType="solid">
        <fgColor rgb="FFFFFFCC"/>
        <bgColor indexed="64"/>
      </patternFill>
    </fill>
    <fill>
      <patternFill patternType="solid">
        <fgColor rgb="FFFF9F9F"/>
        <bgColor indexed="64"/>
      </patternFill>
    </fill>
    <fill>
      <patternFill patternType="solid">
        <fgColor rgb="FFFFC1C1"/>
        <bgColor indexed="64"/>
      </patternFill>
    </fill>
    <fill>
      <patternFill patternType="solid">
        <fgColor rgb="FF91F7ED"/>
        <bgColor indexed="64"/>
      </patternFill>
    </fill>
    <fill>
      <patternFill patternType="solid">
        <fgColor theme="2" tint="-9.9978637043366805E-2"/>
        <bgColor indexed="64"/>
      </patternFill>
    </fill>
  </fills>
  <borders count="1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43" fontId="1" fillId="0" borderId="0" applyFont="0" applyFill="0" applyBorder="0" applyAlignment="0" applyProtection="0"/>
  </cellStyleXfs>
  <cellXfs count="97">
    <xf numFmtId="0" fontId="0" fillId="0" borderId="0" xfId="0"/>
    <xf numFmtId="0" fontId="2" fillId="0" borderId="0" xfId="0" applyFont="1" applyBorder="1"/>
    <xf numFmtId="1" fontId="2" fillId="0" borderId="0" xfId="0" applyNumberFormat="1" applyFont="1" applyBorder="1"/>
    <xf numFmtId="164" fontId="2" fillId="0" borderId="0" xfId="0" applyNumberFormat="1" applyFont="1" applyBorder="1"/>
    <xf numFmtId="2" fontId="2" fillId="3" borderId="0" xfId="0" applyNumberFormat="1" applyFont="1" applyFill="1" applyBorder="1"/>
    <xf numFmtId="164" fontId="2" fillId="4" borderId="0" xfId="0" applyNumberFormat="1" applyFont="1" applyFill="1" applyBorder="1"/>
    <xf numFmtId="2" fontId="2" fillId="5" borderId="0" xfId="0" applyNumberFormat="1" applyFont="1" applyFill="1" applyBorder="1"/>
    <xf numFmtId="2" fontId="2" fillId="0" borderId="0" xfId="0" applyNumberFormat="1" applyFont="1" applyBorder="1"/>
    <xf numFmtId="0" fontId="2" fillId="0" borderId="2" xfId="0" applyFont="1" applyBorder="1" applyAlignment="1">
      <alignment horizontal="center"/>
    </xf>
    <xf numFmtId="164" fontId="2" fillId="0" borderId="2" xfId="0" applyNumberFormat="1" applyFont="1" applyBorder="1" applyAlignment="1">
      <alignment horizontal="center"/>
    </xf>
    <xf numFmtId="0" fontId="2" fillId="0" borderId="2" xfId="0" applyFont="1" applyFill="1" applyBorder="1" applyAlignment="1">
      <alignment horizontal="center"/>
    </xf>
    <xf numFmtId="0" fontId="2" fillId="0" borderId="0" xfId="0" applyFont="1" applyBorder="1" applyAlignment="1">
      <alignment horizontal="center"/>
    </xf>
    <xf numFmtId="164" fontId="2" fillId="0" borderId="0" xfId="0" applyNumberFormat="1" applyFont="1" applyBorder="1" applyAlignment="1">
      <alignment horizontal="center"/>
    </xf>
    <xf numFmtId="0" fontId="2" fillId="0" borderId="0" xfId="0" applyFont="1" applyFill="1" applyBorder="1" applyAlignment="1">
      <alignment horizontal="center"/>
    </xf>
    <xf numFmtId="17" fontId="2" fillId="0" borderId="4" xfId="0" applyNumberFormat="1" applyFont="1" applyBorder="1"/>
    <xf numFmtId="164" fontId="2" fillId="0" borderId="0" xfId="0" applyNumberFormat="1" applyFont="1" applyFill="1" applyBorder="1"/>
    <xf numFmtId="2" fontId="2" fillId="0" borderId="0" xfId="0" applyNumberFormat="1" applyFont="1" applyFill="1" applyBorder="1"/>
    <xf numFmtId="0" fontId="2" fillId="0" borderId="5" xfId="0" applyFont="1" applyBorder="1"/>
    <xf numFmtId="164" fontId="2" fillId="3" borderId="0" xfId="0" applyNumberFormat="1" applyFont="1" applyFill="1" applyBorder="1"/>
    <xf numFmtId="1" fontId="2" fillId="0" borderId="0" xfId="0" applyNumberFormat="1" applyFont="1" applyFill="1" applyBorder="1"/>
    <xf numFmtId="0" fontId="3" fillId="0" borderId="0" xfId="0" applyFont="1" applyBorder="1"/>
    <xf numFmtId="0" fontId="2" fillId="0" borderId="0" xfId="0" applyFont="1" applyFill="1" applyBorder="1"/>
    <xf numFmtId="0" fontId="9" fillId="0" borderId="0" xfId="0" applyFont="1" applyBorder="1"/>
    <xf numFmtId="0" fontId="10" fillId="0" borderId="0" xfId="0" applyFont="1" applyBorder="1"/>
    <xf numFmtId="0" fontId="10" fillId="0" borderId="0" xfId="0" applyFont="1"/>
    <xf numFmtId="0" fontId="4" fillId="0" borderId="0" xfId="0" applyFont="1" applyBorder="1" applyAlignment="1">
      <alignment horizontal="right"/>
    </xf>
    <xf numFmtId="0" fontId="4" fillId="0" borderId="0" xfId="0" applyFont="1" applyBorder="1"/>
    <xf numFmtId="0" fontId="4" fillId="0" borderId="0" xfId="0" applyFont="1" applyFill="1" applyBorder="1" applyAlignment="1">
      <alignment horizontal="right"/>
    </xf>
    <xf numFmtId="0" fontId="3" fillId="0" borderId="1" xfId="0" applyFont="1" applyBorder="1" applyAlignment="1">
      <alignment horizontal="center"/>
    </xf>
    <xf numFmtId="1" fontId="2" fillId="0" borderId="2" xfId="0" applyNumberFormat="1" applyFont="1" applyBorder="1" applyAlignment="1">
      <alignment horizontal="center"/>
    </xf>
    <xf numFmtId="2" fontId="2" fillId="0" borderId="2" xfId="0" applyNumberFormat="1" applyFont="1" applyBorder="1" applyAlignment="1">
      <alignment horizontal="center"/>
    </xf>
    <xf numFmtId="164" fontId="2" fillId="0" borderId="3" xfId="0" applyNumberFormat="1" applyFont="1" applyBorder="1" applyAlignment="1">
      <alignment horizontal="center"/>
    </xf>
    <xf numFmtId="0" fontId="2" fillId="0" borderId="6" xfId="0" applyFont="1" applyBorder="1"/>
    <xf numFmtId="0" fontId="2" fillId="0" borderId="7" xfId="0" applyFont="1" applyBorder="1"/>
    <xf numFmtId="2" fontId="2" fillId="0" borderId="7" xfId="0" applyNumberFormat="1" applyFont="1" applyBorder="1"/>
    <xf numFmtId="1" fontId="2" fillId="0" borderId="7" xfId="0" applyNumberFormat="1" applyFont="1" applyBorder="1"/>
    <xf numFmtId="2" fontId="2" fillId="0" borderId="7" xfId="0" applyNumberFormat="1" applyFont="1" applyFill="1" applyBorder="1"/>
    <xf numFmtId="1" fontId="2" fillId="0" borderId="7" xfId="0" applyNumberFormat="1" applyFont="1" applyFill="1" applyBorder="1"/>
    <xf numFmtId="164" fontId="2" fillId="0" borderId="8" xfId="0" applyNumberFormat="1" applyFont="1" applyBorder="1"/>
    <xf numFmtId="0" fontId="11" fillId="0" borderId="0" xfId="0" applyFont="1" applyBorder="1"/>
    <xf numFmtId="2" fontId="2" fillId="0" borderId="0" xfId="0" applyNumberFormat="1" applyFont="1" applyFill="1" applyBorder="1" applyProtection="1"/>
    <xf numFmtId="2" fontId="9" fillId="0" borderId="0" xfId="0" applyNumberFormat="1" applyFont="1" applyFill="1" applyBorder="1" applyProtection="1"/>
    <xf numFmtId="0" fontId="9" fillId="0" borderId="0" xfId="0" applyFont="1" applyFill="1" applyBorder="1"/>
    <xf numFmtId="0" fontId="10" fillId="0" borderId="0" xfId="0" applyFont="1" applyBorder="1" applyAlignment="1"/>
    <xf numFmtId="0" fontId="10" fillId="0" borderId="0" xfId="0" applyFont="1" applyAlignment="1">
      <alignment horizontal="left"/>
    </xf>
    <xf numFmtId="0" fontId="2" fillId="0" borderId="12" xfId="0" applyFont="1" applyBorder="1"/>
    <xf numFmtId="0" fontId="2" fillId="0" borderId="13" xfId="0" applyFont="1" applyBorder="1"/>
    <xf numFmtId="43" fontId="2" fillId="6" borderId="5" xfId="1" applyNumberFormat="1" applyFont="1" applyFill="1" applyBorder="1"/>
    <xf numFmtId="2" fontId="2" fillId="0" borderId="0" xfId="0" applyNumberFormat="1" applyFont="1" applyBorder="1" applyAlignment="1">
      <alignment horizontal="right"/>
    </xf>
    <xf numFmtId="164" fontId="9" fillId="2" borderId="9" xfId="0" applyNumberFormat="1" applyFont="1" applyFill="1" applyBorder="1" applyProtection="1">
      <protection locked="0"/>
    </xf>
    <xf numFmtId="0" fontId="13" fillId="0" borderId="0" xfId="0" applyFont="1" applyBorder="1" applyAlignment="1">
      <alignment horizontal="center"/>
    </xf>
    <xf numFmtId="0" fontId="13" fillId="0" borderId="0" xfId="0" applyFont="1" applyBorder="1"/>
    <xf numFmtId="17" fontId="2" fillId="0" borderId="0" xfId="0" applyNumberFormat="1" applyFont="1" applyBorder="1" applyAlignment="1">
      <alignment horizontal="left"/>
    </xf>
    <xf numFmtId="0" fontId="2" fillId="0" borderId="14" xfId="0" applyNumberFormat="1" applyFont="1" applyBorder="1" applyAlignment="1">
      <alignment horizontal="left"/>
    </xf>
    <xf numFmtId="0" fontId="2" fillId="0" borderId="15" xfId="0" applyFont="1" applyBorder="1" applyAlignment="1">
      <alignment horizontal="left"/>
    </xf>
    <xf numFmtId="0" fontId="2" fillId="0" borderId="0" xfId="0" applyFont="1"/>
    <xf numFmtId="0" fontId="3" fillId="0" borderId="0" xfId="0" applyFont="1"/>
    <xf numFmtId="0" fontId="2" fillId="0" borderId="0" xfId="0" applyFont="1" applyAlignment="1">
      <alignment horizontal="left"/>
    </xf>
    <xf numFmtId="0" fontId="2" fillId="3" borderId="0" xfId="0" applyFont="1" applyFill="1"/>
    <xf numFmtId="2" fontId="2" fillId="0" borderId="0" xfId="0" applyNumberFormat="1" applyFont="1" applyAlignment="1">
      <alignment horizontal="left"/>
    </xf>
    <xf numFmtId="0" fontId="2" fillId="0" borderId="0" xfId="0" applyFont="1" applyFill="1"/>
    <xf numFmtId="17" fontId="2" fillId="0" borderId="0" xfId="0" applyNumberFormat="1" applyFont="1"/>
    <xf numFmtId="2" fontId="2" fillId="7" borderId="0" xfId="0" applyNumberFormat="1" applyFont="1" applyFill="1"/>
    <xf numFmtId="2" fontId="2" fillId="0" borderId="0" xfId="0" applyNumberFormat="1" applyFont="1"/>
    <xf numFmtId="2" fontId="2" fillId="3" borderId="0" xfId="0" applyNumberFormat="1" applyFont="1" applyFill="1"/>
    <xf numFmtId="17" fontId="2" fillId="0" borderId="0" xfId="0" applyNumberFormat="1" applyFont="1" applyFill="1"/>
    <xf numFmtId="2" fontId="2" fillId="0" borderId="0" xfId="0" applyNumberFormat="1" applyFont="1" applyFill="1"/>
    <xf numFmtId="2" fontId="2" fillId="0" borderId="0" xfId="0" applyNumberFormat="1" applyFont="1" applyFill="1" applyAlignment="1">
      <alignment horizontal="left"/>
    </xf>
    <xf numFmtId="0" fontId="14" fillId="0" borderId="0" xfId="0" applyFont="1"/>
    <xf numFmtId="0" fontId="15" fillId="0" borderId="0" xfId="0" applyFont="1"/>
    <xf numFmtId="0" fontId="15" fillId="0" borderId="0" xfId="0" applyFont="1" applyFill="1"/>
    <xf numFmtId="2" fontId="15" fillId="0" borderId="0" xfId="0" applyNumberFormat="1" applyFont="1"/>
    <xf numFmtId="0" fontId="14" fillId="0" borderId="0" xfId="0" applyFont="1" applyBorder="1" applyAlignment="1">
      <alignment horizontal="center"/>
    </xf>
    <xf numFmtId="17" fontId="2" fillId="0" borderId="0" xfId="0" applyNumberFormat="1" applyFont="1" applyBorder="1"/>
    <xf numFmtId="2" fontId="14" fillId="3" borderId="0" xfId="0" applyNumberFormat="1" applyFont="1" applyFill="1"/>
    <xf numFmtId="0" fontId="14" fillId="3" borderId="0" xfId="0" applyFont="1" applyFill="1"/>
    <xf numFmtId="2" fontId="2" fillId="0" borderId="0" xfId="0" applyNumberFormat="1" applyFont="1" applyAlignment="1">
      <alignment horizontal="center"/>
    </xf>
    <xf numFmtId="0" fontId="2" fillId="0" borderId="0" xfId="0" applyFont="1" applyFill="1" applyAlignment="1">
      <alignment horizontal="center"/>
    </xf>
    <xf numFmtId="0" fontId="16" fillId="0" borderId="0" xfId="0" applyFont="1" applyFill="1"/>
    <xf numFmtId="2" fontId="16" fillId="0" borderId="0" xfId="0" applyNumberFormat="1" applyFont="1"/>
    <xf numFmtId="0" fontId="14" fillId="0" borderId="0" xfId="0" applyFont="1" applyFill="1"/>
    <xf numFmtId="0" fontId="15" fillId="0" borderId="0" xfId="0" applyFont="1" applyAlignment="1">
      <alignment horizontal="right"/>
    </xf>
    <xf numFmtId="2" fontId="2" fillId="8" borderId="0" xfId="0" applyNumberFormat="1" applyFont="1" applyFill="1" applyBorder="1" applyAlignment="1">
      <alignment horizontal="right"/>
    </xf>
    <xf numFmtId="43" fontId="2" fillId="9" borderId="0" xfId="1" applyNumberFormat="1" applyFont="1" applyFill="1" applyBorder="1"/>
    <xf numFmtId="0" fontId="17" fillId="0" borderId="0" xfId="0" applyFont="1"/>
    <xf numFmtId="2" fontId="2" fillId="0" borderId="0" xfId="0" applyNumberFormat="1" applyFont="1" applyAlignment="1">
      <alignment vertical="center"/>
    </xf>
    <xf numFmtId="0" fontId="18" fillId="0" borderId="0" xfId="0" applyFont="1" applyBorder="1" applyAlignment="1">
      <alignment horizontal="center"/>
    </xf>
    <xf numFmtId="0" fontId="18" fillId="0" borderId="0" xfId="0" applyFont="1" applyBorder="1"/>
    <xf numFmtId="0" fontId="0" fillId="0" borderId="0" xfId="0" applyAlignment="1"/>
    <xf numFmtId="0" fontId="2" fillId="0" borderId="16" xfId="0" applyNumberFormat="1" applyFont="1" applyBorder="1" applyAlignment="1">
      <alignment horizontal="left"/>
    </xf>
    <xf numFmtId="0" fontId="2" fillId="0" borderId="9" xfId="0" applyFont="1" applyBorder="1" applyAlignment="1">
      <alignment horizontal="left"/>
    </xf>
    <xf numFmtId="0" fontId="2" fillId="0" borderId="17" xfId="0" applyFont="1" applyBorder="1" applyAlignment="1">
      <alignment horizontal="left"/>
    </xf>
    <xf numFmtId="0" fontId="2" fillId="0" borderId="16" xfId="0" applyFont="1" applyBorder="1"/>
    <xf numFmtId="0" fontId="2" fillId="0" borderId="9" xfId="0" applyFont="1" applyBorder="1"/>
    <xf numFmtId="0" fontId="2" fillId="0" borderId="10" xfId="0" applyFont="1" applyBorder="1" applyAlignment="1">
      <alignment horizontal="center"/>
    </xf>
    <xf numFmtId="0" fontId="2" fillId="0" borderId="11" xfId="0" applyFont="1" applyBorder="1" applyAlignment="1">
      <alignment horizontal="center"/>
    </xf>
    <xf numFmtId="0" fontId="0" fillId="0" borderId="0" xfId="0" applyAlignment="1">
      <alignment horizontal="center" vertical="top" wrapText="1"/>
    </xf>
  </cellXfs>
  <cellStyles count="2">
    <cellStyle name="Komma" xfId="1" builtinId="3"/>
    <cellStyle name="Standard" xfId="0" builtinId="0"/>
  </cellStyles>
  <dxfs count="0"/>
  <tableStyles count="0" defaultTableStyle="TableStyleMedium2" defaultPivotStyle="PivotStyleLight16"/>
  <colors>
    <mruColors>
      <color rgb="FFFFC1C1"/>
      <color rgb="FFFFCC00"/>
      <color rgb="FF91F7ED"/>
      <color rgb="FFFF0D0D"/>
      <color rgb="FFFF9900"/>
      <color rgb="FFFF9F9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6.xml"/><Relationship Id="rId3" Type="http://schemas.openxmlformats.org/officeDocument/2006/relationships/chartsheet" Target="chartsheets/sheet1.xml"/><Relationship Id="rId7" Type="http://schemas.openxmlformats.org/officeDocument/2006/relationships/worksheet" Target="worksheets/sheet5.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4.xml"/><Relationship Id="rId11" Type="http://schemas.openxmlformats.org/officeDocument/2006/relationships/sharedStrings" Target="sharedStrings.xml"/><Relationship Id="rId5" Type="http://schemas.openxmlformats.org/officeDocument/2006/relationships/worksheet" Target="worksheets/sheet3.xml"/><Relationship Id="rId10" Type="http://schemas.openxmlformats.org/officeDocument/2006/relationships/styles" Target="styles.xml"/><Relationship Id="rId4" Type="http://schemas.openxmlformats.org/officeDocument/2006/relationships/chartsheet" Target="chartsheets/sheet2.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CH"/>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de-CH" sz="1200" b="0" i="0" baseline="0">
                <a:effectLst/>
              </a:rPr>
              <a:t>Monatsfüllstand der Speicherseen in TWh</a:t>
            </a:r>
            <a:endParaRPr lang="de-CH" sz="1200">
              <a:effectLst/>
            </a:endParaRPr>
          </a:p>
        </c:rich>
      </c:tx>
      <c:layout/>
      <c:overlay val="0"/>
    </c:title>
    <c:autoTitleDeleted val="0"/>
    <c:plotArea>
      <c:layout/>
      <c:barChart>
        <c:barDir val="col"/>
        <c:grouping val="clustered"/>
        <c:varyColors val="0"/>
        <c:ser>
          <c:idx val="3"/>
          <c:order val="3"/>
          <c:tx>
            <c:strRef>
              <c:f>'Eingabemaske &amp; Liniendia'!$N$8</c:f>
              <c:strCache>
                <c:ptCount val="1"/>
                <c:pt idx="0">
                  <c:v>zusätzlicher Export pro Monat</c:v>
                </c:pt>
              </c:strCache>
            </c:strRef>
          </c:tx>
          <c:spPr>
            <a:solidFill>
              <a:srgbClr val="91F7ED"/>
            </a:solidFill>
            <a:ln w="15875">
              <a:solidFill>
                <a:schemeClr val="tx1"/>
              </a:solidFill>
            </a:ln>
          </c:spPr>
          <c:invertIfNegative val="0"/>
          <c:val>
            <c:numRef>
              <c:f>'Eingabemaske &amp; Liniendia'!$N$10:$N$21</c:f>
              <c:numCache>
                <c:formatCode>0.00</c:formatCode>
                <c:ptCount val="12"/>
                <c:pt idx="0">
                  <c:v>0</c:v>
                </c:pt>
                <c:pt idx="1">
                  <c:v>0</c:v>
                </c:pt>
                <c:pt idx="2">
                  <c:v>0</c:v>
                </c:pt>
                <c:pt idx="3">
                  <c:v>0</c:v>
                </c:pt>
                <c:pt idx="4">
                  <c:v>0</c:v>
                </c:pt>
                <c:pt idx="5">
                  <c:v>0</c:v>
                </c:pt>
                <c:pt idx="6">
                  <c:v>0</c:v>
                </c:pt>
                <c:pt idx="7">
                  <c:v>0</c:v>
                </c:pt>
                <c:pt idx="8">
                  <c:v>0</c:v>
                </c:pt>
                <c:pt idx="9">
                  <c:v>0.73250000000000171</c:v>
                </c:pt>
                <c:pt idx="10">
                  <c:v>1.3375000000000004</c:v>
                </c:pt>
                <c:pt idx="11">
                  <c:v>0.62999999999999901</c:v>
                </c:pt>
              </c:numCache>
            </c:numRef>
          </c:val>
        </c:ser>
        <c:ser>
          <c:idx val="4"/>
          <c:order val="4"/>
          <c:tx>
            <c:strRef>
              <c:f>'Eingabemaske &amp; Liniendia'!$O$8</c:f>
              <c:strCache>
                <c:ptCount val="1"/>
                <c:pt idx="0">
                  <c:v>zusätzlicher Import pro Monat</c:v>
                </c:pt>
              </c:strCache>
            </c:strRef>
          </c:tx>
          <c:spPr>
            <a:solidFill>
              <a:srgbClr val="FFC000">
                <a:alpha val="50000"/>
              </a:srgbClr>
            </a:solidFill>
            <a:ln w="3175" cmpd="sng">
              <a:solidFill>
                <a:schemeClr val="accent1"/>
              </a:solidFill>
              <a:prstDash val="solid"/>
            </a:ln>
          </c:spPr>
          <c:invertIfNegative val="0"/>
          <c:val>
            <c:numRef>
              <c:f>'Eingabemaske &amp; Liniendia'!$O$10:$O$21</c:f>
              <c:numCache>
                <c:formatCode>0.00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er>
        <c:dLbls>
          <c:showLegendKey val="0"/>
          <c:showVal val="0"/>
          <c:showCatName val="0"/>
          <c:showSerName val="0"/>
          <c:showPercent val="0"/>
          <c:showBubbleSize val="0"/>
        </c:dLbls>
        <c:gapWidth val="138"/>
        <c:overlap val="100"/>
        <c:axId val="138901504"/>
        <c:axId val="141390336"/>
      </c:barChart>
      <c:lineChart>
        <c:grouping val="standard"/>
        <c:varyColors val="0"/>
        <c:ser>
          <c:idx val="0"/>
          <c:order val="0"/>
          <c:tx>
            <c:strRef>
              <c:f>'Eingabemaske &amp; Liniendia'!$B$8</c:f>
              <c:strCache>
                <c:ptCount val="1"/>
                <c:pt idx="0">
                  <c:v>Speicherstand eff. [TWh]</c:v>
                </c:pt>
              </c:strCache>
            </c:strRef>
          </c:tx>
          <c:marker>
            <c:symbol val="square"/>
            <c:size val="5"/>
          </c:marker>
          <c:cat>
            <c:numRef>
              <c:f>'Eingabemaske &amp; Liniendia (2)'!$A$10:$A$21</c:f>
              <c:numCache>
                <c:formatCode>mmm\-yy</c:formatCode>
                <c:ptCount val="12"/>
                <c:pt idx="0">
                  <c:v>44470</c:v>
                </c:pt>
                <c:pt idx="1">
                  <c:v>44501</c:v>
                </c:pt>
                <c:pt idx="2">
                  <c:v>44531</c:v>
                </c:pt>
                <c:pt idx="3">
                  <c:v>44562</c:v>
                </c:pt>
                <c:pt idx="4">
                  <c:v>44593</c:v>
                </c:pt>
                <c:pt idx="5">
                  <c:v>44621</c:v>
                </c:pt>
                <c:pt idx="6">
                  <c:v>44652</c:v>
                </c:pt>
                <c:pt idx="7">
                  <c:v>44682</c:v>
                </c:pt>
                <c:pt idx="8">
                  <c:v>44713</c:v>
                </c:pt>
                <c:pt idx="9">
                  <c:v>44743</c:v>
                </c:pt>
                <c:pt idx="10">
                  <c:v>44774</c:v>
                </c:pt>
                <c:pt idx="11">
                  <c:v>44805</c:v>
                </c:pt>
              </c:numCache>
            </c:numRef>
          </c:cat>
          <c:val>
            <c:numRef>
              <c:f>'Eingabemaske &amp; Liniendia'!$B$10:$B$21</c:f>
              <c:numCache>
                <c:formatCode>0.0</c:formatCode>
                <c:ptCount val="12"/>
                <c:pt idx="0">
                  <c:v>7</c:v>
                </c:pt>
                <c:pt idx="1">
                  <c:v>5.6</c:v>
                </c:pt>
                <c:pt idx="2">
                  <c:v>4.7</c:v>
                </c:pt>
                <c:pt idx="3">
                  <c:v>3.5</c:v>
                </c:pt>
                <c:pt idx="4">
                  <c:v>2.8</c:v>
                </c:pt>
                <c:pt idx="5">
                  <c:v>2.1</c:v>
                </c:pt>
                <c:pt idx="6">
                  <c:v>1.8</c:v>
                </c:pt>
                <c:pt idx="7">
                  <c:v>3.3</c:v>
                </c:pt>
                <c:pt idx="8">
                  <c:v>4.7</c:v>
                </c:pt>
                <c:pt idx="9">
                  <c:v>6</c:v>
                </c:pt>
                <c:pt idx="10">
                  <c:v>7</c:v>
                </c:pt>
                <c:pt idx="11">
                  <c:v>7.3</c:v>
                </c:pt>
              </c:numCache>
            </c:numRef>
          </c:val>
          <c:smooth val="0"/>
        </c:ser>
        <c:ser>
          <c:idx val="1"/>
          <c:order val="1"/>
          <c:tx>
            <c:strRef>
              <c:f>'Eingabemaske &amp; Liniendia'!$M$8</c:f>
              <c:strCache>
                <c:ptCount val="1"/>
                <c:pt idx="0">
                  <c:v>Speicherstand neu mit Limiten</c:v>
                </c:pt>
              </c:strCache>
            </c:strRef>
          </c:tx>
          <c:spPr>
            <a:ln>
              <a:solidFill>
                <a:srgbClr val="FF0000"/>
              </a:solidFill>
            </a:ln>
          </c:spPr>
          <c:marker>
            <c:symbol val="square"/>
            <c:size val="5"/>
            <c:spPr>
              <a:solidFill>
                <a:srgbClr val="FF0000"/>
              </a:solidFill>
            </c:spPr>
          </c:marker>
          <c:cat>
            <c:numRef>
              <c:f>'Eingabemaske &amp; Liniendia (2)'!$A$10:$A$21</c:f>
              <c:numCache>
                <c:formatCode>mmm\-yy</c:formatCode>
                <c:ptCount val="12"/>
                <c:pt idx="0">
                  <c:v>44470</c:v>
                </c:pt>
                <c:pt idx="1">
                  <c:v>44501</c:v>
                </c:pt>
                <c:pt idx="2">
                  <c:v>44531</c:v>
                </c:pt>
                <c:pt idx="3">
                  <c:v>44562</c:v>
                </c:pt>
                <c:pt idx="4">
                  <c:v>44593</c:v>
                </c:pt>
                <c:pt idx="5">
                  <c:v>44621</c:v>
                </c:pt>
                <c:pt idx="6">
                  <c:v>44652</c:v>
                </c:pt>
                <c:pt idx="7">
                  <c:v>44682</c:v>
                </c:pt>
                <c:pt idx="8">
                  <c:v>44713</c:v>
                </c:pt>
                <c:pt idx="9">
                  <c:v>44743</c:v>
                </c:pt>
                <c:pt idx="10">
                  <c:v>44774</c:v>
                </c:pt>
                <c:pt idx="11">
                  <c:v>44805</c:v>
                </c:pt>
              </c:numCache>
            </c:numRef>
          </c:cat>
          <c:val>
            <c:numRef>
              <c:f>'Eingabemaske &amp; Liniendia'!$M$10:$M$21</c:f>
              <c:numCache>
                <c:formatCode>0.00</c:formatCode>
                <c:ptCount val="12"/>
                <c:pt idx="0">
                  <c:v>7.3525</c:v>
                </c:pt>
                <c:pt idx="1">
                  <c:v>6.267500000000001</c:v>
                </c:pt>
                <c:pt idx="2">
                  <c:v>5.6675000000000022</c:v>
                </c:pt>
                <c:pt idx="3">
                  <c:v>4.8425000000000011</c:v>
                </c:pt>
                <c:pt idx="4">
                  <c:v>4.5550000000000006</c:v>
                </c:pt>
                <c:pt idx="5">
                  <c:v>4.3049999999999997</c:v>
                </c:pt>
                <c:pt idx="6">
                  <c:v>4.3949999999999996</c:v>
                </c:pt>
                <c:pt idx="7">
                  <c:v>6.2249999999999996</c:v>
                </c:pt>
                <c:pt idx="8">
                  <c:v>7.9175000000000004</c:v>
                </c:pt>
                <c:pt idx="9">
                  <c:v>8.8000000000000007</c:v>
                </c:pt>
                <c:pt idx="10">
                  <c:v>8.8000000000000007</c:v>
                </c:pt>
                <c:pt idx="11">
                  <c:v>8.8000000000000007</c:v>
                </c:pt>
              </c:numCache>
            </c:numRef>
          </c:val>
          <c:smooth val="0"/>
        </c:ser>
        <c:ser>
          <c:idx val="2"/>
          <c:order val="2"/>
          <c:tx>
            <c:strRef>
              <c:f>'Eingabemaske &amp; Liniendia'!$Q$9</c:f>
              <c:strCache>
                <c:ptCount val="1"/>
                <c:pt idx="0">
                  <c:v>Maximum Speicher</c:v>
                </c:pt>
              </c:strCache>
            </c:strRef>
          </c:tx>
          <c:spPr>
            <a:ln w="25400">
              <a:solidFill>
                <a:srgbClr val="00B0F0"/>
              </a:solidFill>
              <a:prstDash val="dash"/>
            </a:ln>
          </c:spPr>
          <c:marker>
            <c:symbol val="none"/>
          </c:marker>
          <c:val>
            <c:numRef>
              <c:f>'Eingabemaske &amp; Liniendia'!$Q$10:$Q$21</c:f>
              <c:numCache>
                <c:formatCode>General</c:formatCode>
                <c:ptCount val="12"/>
                <c:pt idx="0">
                  <c:v>8.8000000000000007</c:v>
                </c:pt>
                <c:pt idx="1">
                  <c:v>8.8000000000000007</c:v>
                </c:pt>
                <c:pt idx="2">
                  <c:v>8.8000000000000007</c:v>
                </c:pt>
                <c:pt idx="3">
                  <c:v>8.8000000000000007</c:v>
                </c:pt>
                <c:pt idx="4">
                  <c:v>8.8000000000000007</c:v>
                </c:pt>
                <c:pt idx="5">
                  <c:v>8.8000000000000007</c:v>
                </c:pt>
                <c:pt idx="6">
                  <c:v>8.8000000000000007</c:v>
                </c:pt>
                <c:pt idx="7">
                  <c:v>8.8000000000000007</c:v>
                </c:pt>
                <c:pt idx="8">
                  <c:v>8.8000000000000007</c:v>
                </c:pt>
                <c:pt idx="9">
                  <c:v>8.8000000000000007</c:v>
                </c:pt>
                <c:pt idx="10">
                  <c:v>8.8000000000000007</c:v>
                </c:pt>
                <c:pt idx="11">
                  <c:v>8.8000000000000007</c:v>
                </c:pt>
              </c:numCache>
            </c:numRef>
          </c:val>
          <c:smooth val="0"/>
        </c:ser>
        <c:ser>
          <c:idx val="5"/>
          <c:order val="5"/>
          <c:tx>
            <c:strRef>
              <c:f>'Eingabemaske &amp; Liniendia'!$K$8</c:f>
              <c:strCache>
                <c:ptCount val="1"/>
                <c:pt idx="0">
                  <c:v>Speicherstand neu ohne Limiten</c:v>
                </c:pt>
              </c:strCache>
            </c:strRef>
          </c:tx>
          <c:spPr>
            <a:ln w="25400">
              <a:solidFill>
                <a:srgbClr val="FF0D0D"/>
              </a:solidFill>
              <a:prstDash val="sysDot"/>
            </a:ln>
          </c:spPr>
          <c:marker>
            <c:symbol val="square"/>
            <c:size val="3"/>
            <c:spPr>
              <a:solidFill>
                <a:srgbClr val="FF0000"/>
              </a:solidFill>
            </c:spPr>
          </c:marker>
          <c:val>
            <c:numRef>
              <c:f>'Eingabemaske &amp; Liniendia'!$K$10:$K$21</c:f>
              <c:numCache>
                <c:formatCode>_(* #,##0.00_);_(* \(#,##0.00\);_(* "-"??_);_(@_)</c:formatCode>
                <c:ptCount val="12"/>
                <c:pt idx="0">
                  <c:v>7.3525</c:v>
                </c:pt>
                <c:pt idx="1">
                  <c:v>6.2675000000000001</c:v>
                </c:pt>
                <c:pt idx="2">
                  <c:v>5.6675000000000004</c:v>
                </c:pt>
                <c:pt idx="3">
                  <c:v>4.8425000000000002</c:v>
                </c:pt>
                <c:pt idx="4">
                  <c:v>4.5549999999999997</c:v>
                </c:pt>
                <c:pt idx="5">
                  <c:v>4.3049999999999997</c:v>
                </c:pt>
                <c:pt idx="6">
                  <c:v>4.3949999999999996</c:v>
                </c:pt>
                <c:pt idx="7">
                  <c:v>6.2249999999999996</c:v>
                </c:pt>
                <c:pt idx="8">
                  <c:v>7.9175000000000004</c:v>
                </c:pt>
                <c:pt idx="9">
                  <c:v>9.5325000000000006</c:v>
                </c:pt>
                <c:pt idx="10">
                  <c:v>10.870000000000001</c:v>
                </c:pt>
                <c:pt idx="11">
                  <c:v>11.5</c:v>
                </c:pt>
              </c:numCache>
            </c:numRef>
          </c:val>
          <c:smooth val="0"/>
        </c:ser>
        <c:dLbls>
          <c:showLegendKey val="0"/>
          <c:showVal val="0"/>
          <c:showCatName val="0"/>
          <c:showSerName val="0"/>
          <c:showPercent val="0"/>
          <c:showBubbleSize val="0"/>
        </c:dLbls>
        <c:marker val="1"/>
        <c:smooth val="0"/>
        <c:axId val="138901504"/>
        <c:axId val="141390336"/>
      </c:lineChart>
      <c:dateAx>
        <c:axId val="138901504"/>
        <c:scaling>
          <c:orientation val="minMax"/>
          <c:min val="44470"/>
        </c:scaling>
        <c:delete val="0"/>
        <c:axPos val="b"/>
        <c:numFmt formatCode="mmm\-yy" sourceLinked="1"/>
        <c:majorTickMark val="out"/>
        <c:minorTickMark val="none"/>
        <c:tickLblPos val="nextTo"/>
        <c:spPr>
          <a:ln w="25400"/>
        </c:spPr>
        <c:txPr>
          <a:bodyPr rot="-5400000" vert="horz" anchor="t" anchorCtr="0"/>
          <a:lstStyle/>
          <a:p>
            <a:pPr>
              <a:defRPr/>
            </a:pPr>
            <a:endParaRPr lang="de-DE"/>
          </a:p>
        </c:txPr>
        <c:crossAx val="141390336"/>
        <c:crosses val="autoZero"/>
        <c:auto val="1"/>
        <c:lblOffset val="100"/>
        <c:baseTimeUnit val="months"/>
        <c:majorUnit val="1"/>
        <c:majorTimeUnit val="months"/>
      </c:dateAx>
      <c:valAx>
        <c:axId val="141390336"/>
        <c:scaling>
          <c:orientation val="minMax"/>
          <c:max val="12"/>
        </c:scaling>
        <c:delete val="0"/>
        <c:axPos val="l"/>
        <c:majorGridlines>
          <c:spPr>
            <a:ln w="6350">
              <a:solidFill>
                <a:schemeClr val="tx1"/>
              </a:solidFill>
            </a:ln>
          </c:spPr>
        </c:majorGridlines>
        <c:numFmt formatCode="0" sourceLinked="0"/>
        <c:majorTickMark val="out"/>
        <c:minorTickMark val="none"/>
        <c:tickLblPos val="nextTo"/>
        <c:spPr>
          <a:ln w="25400"/>
        </c:spPr>
        <c:crossAx val="138901504"/>
        <c:crossesAt val="44470"/>
        <c:crossBetween val="between"/>
        <c:majorUnit val="1"/>
      </c:valAx>
    </c:plotArea>
    <c:legend>
      <c:legendPos val="b"/>
      <c:layout/>
      <c:overlay val="0"/>
    </c:legend>
    <c:plotVisOnly val="1"/>
    <c:dispBlanksAs val="gap"/>
    <c:showDLblsOverMax val="0"/>
  </c:chart>
  <c:spPr>
    <a:ln w="44450">
      <a:solidFill>
        <a:srgbClr val="0070C0"/>
      </a:solidFill>
    </a:ln>
  </c:sp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CH"/>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600"/>
            </a:pPr>
            <a:r>
              <a:rPr lang="de-CH" sz="1600"/>
              <a:t>Monatsfüllstand der Speicherseen in TWh (1. Okt. 2021 bis 30. Sept.22)</a:t>
            </a:r>
          </a:p>
        </c:rich>
      </c:tx>
      <c:overlay val="0"/>
    </c:title>
    <c:autoTitleDeleted val="0"/>
    <c:plotArea>
      <c:layout/>
      <c:barChart>
        <c:barDir val="col"/>
        <c:grouping val="clustered"/>
        <c:varyColors val="0"/>
        <c:ser>
          <c:idx val="3"/>
          <c:order val="3"/>
          <c:tx>
            <c:strRef>
              <c:f>'Eingabemaske &amp; Liniendia'!$N$8</c:f>
              <c:strCache>
                <c:ptCount val="1"/>
                <c:pt idx="0">
                  <c:v>zusätzlicher Export pro Monat</c:v>
                </c:pt>
              </c:strCache>
            </c:strRef>
          </c:tx>
          <c:spPr>
            <a:solidFill>
              <a:srgbClr val="91F7ED"/>
            </a:solidFill>
            <a:ln>
              <a:solidFill>
                <a:schemeClr val="tx1"/>
              </a:solidFill>
            </a:ln>
          </c:spPr>
          <c:invertIfNegative val="0"/>
          <c:val>
            <c:numRef>
              <c:f>'Eingabemaske &amp; Liniendia'!$N$10:$N$21</c:f>
              <c:numCache>
                <c:formatCode>0.00</c:formatCode>
                <c:ptCount val="12"/>
                <c:pt idx="0">
                  <c:v>0</c:v>
                </c:pt>
                <c:pt idx="1">
                  <c:v>0</c:v>
                </c:pt>
                <c:pt idx="2">
                  <c:v>0</c:v>
                </c:pt>
                <c:pt idx="3">
                  <c:v>0</c:v>
                </c:pt>
                <c:pt idx="4">
                  <c:v>0</c:v>
                </c:pt>
                <c:pt idx="5">
                  <c:v>0</c:v>
                </c:pt>
                <c:pt idx="6">
                  <c:v>0</c:v>
                </c:pt>
                <c:pt idx="7">
                  <c:v>0</c:v>
                </c:pt>
                <c:pt idx="8">
                  <c:v>0</c:v>
                </c:pt>
                <c:pt idx="9">
                  <c:v>0.73250000000000171</c:v>
                </c:pt>
                <c:pt idx="10">
                  <c:v>1.3375000000000004</c:v>
                </c:pt>
                <c:pt idx="11">
                  <c:v>0.62999999999999901</c:v>
                </c:pt>
              </c:numCache>
            </c:numRef>
          </c:val>
        </c:ser>
        <c:ser>
          <c:idx val="4"/>
          <c:order val="4"/>
          <c:tx>
            <c:strRef>
              <c:f>'Eingabemaske &amp; Liniendia'!$O$8</c:f>
              <c:strCache>
                <c:ptCount val="1"/>
                <c:pt idx="0">
                  <c:v>zusätzlicher Import pro Monat</c:v>
                </c:pt>
              </c:strCache>
            </c:strRef>
          </c:tx>
          <c:spPr>
            <a:solidFill>
              <a:srgbClr val="FFC1C1">
                <a:alpha val="50000"/>
              </a:srgbClr>
            </a:solidFill>
            <a:ln w="3175" cmpd="sng">
              <a:solidFill>
                <a:schemeClr val="accent1"/>
              </a:solidFill>
              <a:prstDash val="solid"/>
            </a:ln>
          </c:spPr>
          <c:invertIfNegative val="0"/>
          <c:val>
            <c:numRef>
              <c:f>'Eingabemaske &amp; Liniendia'!$O$10:$O$21</c:f>
              <c:numCache>
                <c:formatCode>0.00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er>
        <c:dLbls>
          <c:showLegendKey val="0"/>
          <c:showVal val="0"/>
          <c:showCatName val="0"/>
          <c:showSerName val="0"/>
          <c:showPercent val="0"/>
          <c:showBubbleSize val="0"/>
        </c:dLbls>
        <c:gapWidth val="92"/>
        <c:overlap val="100"/>
        <c:axId val="140122112"/>
        <c:axId val="163436736"/>
      </c:barChart>
      <c:lineChart>
        <c:grouping val="standard"/>
        <c:varyColors val="0"/>
        <c:ser>
          <c:idx val="0"/>
          <c:order val="0"/>
          <c:tx>
            <c:strRef>
              <c:f>'Eingabemaske &amp; Liniendia'!$B$8</c:f>
              <c:strCache>
                <c:ptCount val="1"/>
                <c:pt idx="0">
                  <c:v>Speicherstand eff. [TWh]</c:v>
                </c:pt>
              </c:strCache>
            </c:strRef>
          </c:tx>
          <c:marker>
            <c:symbol val="square"/>
            <c:size val="5"/>
          </c:marker>
          <c:dLbls>
            <c:showLegendKey val="0"/>
            <c:showVal val="1"/>
            <c:showCatName val="0"/>
            <c:showSerName val="0"/>
            <c:showPercent val="0"/>
            <c:showBubbleSize val="0"/>
            <c:showLeaderLines val="0"/>
          </c:dLbls>
          <c:cat>
            <c:numRef>
              <c:f>'Eingabemaske &amp; Liniendia'!$A$10:$A$21</c:f>
              <c:numCache>
                <c:formatCode>mmm\-yy</c:formatCode>
                <c:ptCount val="12"/>
                <c:pt idx="0">
                  <c:v>44470</c:v>
                </c:pt>
                <c:pt idx="1">
                  <c:v>44501</c:v>
                </c:pt>
                <c:pt idx="2">
                  <c:v>44531</c:v>
                </c:pt>
                <c:pt idx="3">
                  <c:v>44562</c:v>
                </c:pt>
                <c:pt idx="4">
                  <c:v>44593</c:v>
                </c:pt>
                <c:pt idx="5">
                  <c:v>44621</c:v>
                </c:pt>
                <c:pt idx="6">
                  <c:v>44652</c:v>
                </c:pt>
                <c:pt idx="7">
                  <c:v>44682</c:v>
                </c:pt>
                <c:pt idx="8">
                  <c:v>44713</c:v>
                </c:pt>
                <c:pt idx="9">
                  <c:v>44743</c:v>
                </c:pt>
                <c:pt idx="10">
                  <c:v>44774</c:v>
                </c:pt>
                <c:pt idx="11">
                  <c:v>44805</c:v>
                </c:pt>
              </c:numCache>
            </c:numRef>
          </c:cat>
          <c:val>
            <c:numRef>
              <c:f>'Eingabemaske &amp; Liniendia'!$B$10:$B$21</c:f>
              <c:numCache>
                <c:formatCode>0.0</c:formatCode>
                <c:ptCount val="12"/>
                <c:pt idx="0">
                  <c:v>7</c:v>
                </c:pt>
                <c:pt idx="1">
                  <c:v>5.6</c:v>
                </c:pt>
                <c:pt idx="2">
                  <c:v>4.7</c:v>
                </c:pt>
                <c:pt idx="3">
                  <c:v>3.5</c:v>
                </c:pt>
                <c:pt idx="4">
                  <c:v>2.8</c:v>
                </c:pt>
                <c:pt idx="5">
                  <c:v>2.1</c:v>
                </c:pt>
                <c:pt idx="6">
                  <c:v>1.8</c:v>
                </c:pt>
                <c:pt idx="7">
                  <c:v>3.3</c:v>
                </c:pt>
                <c:pt idx="8">
                  <c:v>4.7</c:v>
                </c:pt>
                <c:pt idx="9">
                  <c:v>6</c:v>
                </c:pt>
                <c:pt idx="10">
                  <c:v>7</c:v>
                </c:pt>
                <c:pt idx="11">
                  <c:v>7.3</c:v>
                </c:pt>
              </c:numCache>
            </c:numRef>
          </c:val>
          <c:smooth val="0"/>
        </c:ser>
        <c:ser>
          <c:idx val="1"/>
          <c:order val="1"/>
          <c:tx>
            <c:strRef>
              <c:f>'Eingabemaske &amp; Liniendia'!$M$8</c:f>
              <c:strCache>
                <c:ptCount val="1"/>
                <c:pt idx="0">
                  <c:v>Speicherstand neu mit Limiten</c:v>
                </c:pt>
              </c:strCache>
            </c:strRef>
          </c:tx>
          <c:spPr>
            <a:ln>
              <a:solidFill>
                <a:srgbClr val="FF0000"/>
              </a:solidFill>
            </a:ln>
          </c:spPr>
          <c:marker>
            <c:symbol val="square"/>
            <c:size val="5"/>
            <c:spPr>
              <a:solidFill>
                <a:srgbClr val="FF0000"/>
              </a:solidFill>
            </c:spPr>
          </c:marker>
          <c:dLbls>
            <c:dLbl>
              <c:idx val="2"/>
              <c:layout>
                <c:manualLayout>
                  <c:x val="1.3816927237233012E-3"/>
                  <c:y val="-6.5271469932502712E-17"/>
                </c:manualLayout>
              </c:layout>
              <c:showLegendKey val="0"/>
              <c:showVal val="1"/>
              <c:showCatName val="0"/>
              <c:showSerName val="0"/>
              <c:showPercent val="0"/>
              <c:showBubbleSize val="0"/>
            </c:dLbl>
            <c:dLbl>
              <c:idx val="3"/>
              <c:layout>
                <c:manualLayout>
                  <c:x val="-5.0661481290764207E-17"/>
                  <c:y val="-1.7801515623843734E-2"/>
                </c:manualLayout>
              </c:layout>
              <c:showLegendKey val="0"/>
              <c:showVal val="1"/>
              <c:showCatName val="0"/>
              <c:showSerName val="0"/>
              <c:showPercent val="0"/>
              <c:showBubbleSize val="0"/>
            </c:dLbl>
            <c:showLegendKey val="0"/>
            <c:showVal val="1"/>
            <c:showCatName val="0"/>
            <c:showSerName val="0"/>
            <c:showPercent val="0"/>
            <c:showBubbleSize val="0"/>
            <c:showLeaderLines val="0"/>
          </c:dLbls>
          <c:cat>
            <c:numRef>
              <c:f>'Eingabemaske &amp; Liniendia'!$A$10:$A$21</c:f>
              <c:numCache>
                <c:formatCode>mmm\-yy</c:formatCode>
                <c:ptCount val="12"/>
                <c:pt idx="0">
                  <c:v>44470</c:v>
                </c:pt>
                <c:pt idx="1">
                  <c:v>44501</c:v>
                </c:pt>
                <c:pt idx="2">
                  <c:v>44531</c:v>
                </c:pt>
                <c:pt idx="3">
                  <c:v>44562</c:v>
                </c:pt>
                <c:pt idx="4">
                  <c:v>44593</c:v>
                </c:pt>
                <c:pt idx="5">
                  <c:v>44621</c:v>
                </c:pt>
                <c:pt idx="6">
                  <c:v>44652</c:v>
                </c:pt>
                <c:pt idx="7">
                  <c:v>44682</c:v>
                </c:pt>
                <c:pt idx="8">
                  <c:v>44713</c:v>
                </c:pt>
                <c:pt idx="9">
                  <c:v>44743</c:v>
                </c:pt>
                <c:pt idx="10">
                  <c:v>44774</c:v>
                </c:pt>
                <c:pt idx="11">
                  <c:v>44805</c:v>
                </c:pt>
              </c:numCache>
            </c:numRef>
          </c:cat>
          <c:val>
            <c:numRef>
              <c:f>'Eingabemaske &amp; Liniendia'!$M$10:$M$21</c:f>
              <c:numCache>
                <c:formatCode>0.00</c:formatCode>
                <c:ptCount val="12"/>
                <c:pt idx="0">
                  <c:v>7.3525</c:v>
                </c:pt>
                <c:pt idx="1">
                  <c:v>6.267500000000001</c:v>
                </c:pt>
                <c:pt idx="2">
                  <c:v>5.6675000000000022</c:v>
                </c:pt>
                <c:pt idx="3">
                  <c:v>4.8425000000000011</c:v>
                </c:pt>
                <c:pt idx="4">
                  <c:v>4.5550000000000006</c:v>
                </c:pt>
                <c:pt idx="5">
                  <c:v>4.3049999999999997</c:v>
                </c:pt>
                <c:pt idx="6">
                  <c:v>4.3949999999999996</c:v>
                </c:pt>
                <c:pt idx="7">
                  <c:v>6.2249999999999996</c:v>
                </c:pt>
                <c:pt idx="8">
                  <c:v>7.9175000000000004</c:v>
                </c:pt>
                <c:pt idx="9">
                  <c:v>8.8000000000000007</c:v>
                </c:pt>
                <c:pt idx="10">
                  <c:v>8.8000000000000007</c:v>
                </c:pt>
                <c:pt idx="11">
                  <c:v>8.8000000000000007</c:v>
                </c:pt>
              </c:numCache>
            </c:numRef>
          </c:val>
          <c:smooth val="0"/>
        </c:ser>
        <c:ser>
          <c:idx val="2"/>
          <c:order val="2"/>
          <c:tx>
            <c:strRef>
              <c:f>'Eingabemaske &amp; Liniendia'!$Q$9</c:f>
              <c:strCache>
                <c:ptCount val="1"/>
                <c:pt idx="0">
                  <c:v>Maximum Speicher</c:v>
                </c:pt>
              </c:strCache>
            </c:strRef>
          </c:tx>
          <c:spPr>
            <a:ln w="25400">
              <a:solidFill>
                <a:srgbClr val="00B0F0"/>
              </a:solidFill>
              <a:prstDash val="dash"/>
            </a:ln>
          </c:spPr>
          <c:marker>
            <c:symbol val="none"/>
          </c:marker>
          <c:val>
            <c:numRef>
              <c:f>'Eingabemaske &amp; Liniendia'!$Q$10:$Q$21</c:f>
              <c:numCache>
                <c:formatCode>General</c:formatCode>
                <c:ptCount val="12"/>
                <c:pt idx="0">
                  <c:v>8.8000000000000007</c:v>
                </c:pt>
                <c:pt idx="1">
                  <c:v>8.8000000000000007</c:v>
                </c:pt>
                <c:pt idx="2">
                  <c:v>8.8000000000000007</c:v>
                </c:pt>
                <c:pt idx="3">
                  <c:v>8.8000000000000007</c:v>
                </c:pt>
                <c:pt idx="4">
                  <c:v>8.8000000000000007</c:v>
                </c:pt>
                <c:pt idx="5">
                  <c:v>8.8000000000000007</c:v>
                </c:pt>
                <c:pt idx="6">
                  <c:v>8.8000000000000007</c:v>
                </c:pt>
                <c:pt idx="7">
                  <c:v>8.8000000000000007</c:v>
                </c:pt>
                <c:pt idx="8">
                  <c:v>8.8000000000000007</c:v>
                </c:pt>
                <c:pt idx="9">
                  <c:v>8.8000000000000007</c:v>
                </c:pt>
                <c:pt idx="10">
                  <c:v>8.8000000000000007</c:v>
                </c:pt>
                <c:pt idx="11">
                  <c:v>8.8000000000000007</c:v>
                </c:pt>
              </c:numCache>
            </c:numRef>
          </c:val>
          <c:smooth val="0"/>
        </c:ser>
        <c:ser>
          <c:idx val="5"/>
          <c:order val="5"/>
          <c:tx>
            <c:strRef>
              <c:f>'Eingabemaske &amp; Liniendia'!$K$8</c:f>
              <c:strCache>
                <c:ptCount val="1"/>
                <c:pt idx="0">
                  <c:v>Speicherstand neu ohne Limiten</c:v>
                </c:pt>
              </c:strCache>
            </c:strRef>
          </c:tx>
          <c:spPr>
            <a:ln w="25400">
              <a:solidFill>
                <a:srgbClr val="FF0D0D"/>
              </a:solidFill>
              <a:prstDash val="sysDot"/>
            </a:ln>
          </c:spPr>
          <c:marker>
            <c:symbol val="square"/>
            <c:size val="2"/>
            <c:spPr>
              <a:solidFill>
                <a:srgbClr val="FF0000"/>
              </a:solidFill>
            </c:spPr>
          </c:marker>
          <c:dLbls>
            <c:dLbl>
              <c:idx val="9"/>
              <c:layout>
                <c:manualLayout>
                  <c:x val="-1.3646533087523813E-3"/>
                  <c:y val="1.7351056609799628E-2"/>
                </c:manualLayout>
              </c:layout>
              <c:showLegendKey val="0"/>
              <c:showVal val="1"/>
              <c:showCatName val="0"/>
              <c:showSerName val="0"/>
              <c:showPercent val="0"/>
              <c:showBubbleSize val="0"/>
            </c:dLbl>
            <c:showLegendKey val="0"/>
            <c:showVal val="1"/>
            <c:showCatName val="0"/>
            <c:showSerName val="0"/>
            <c:showPercent val="0"/>
            <c:showBubbleSize val="0"/>
            <c:showLeaderLines val="0"/>
          </c:dLbls>
          <c:val>
            <c:numRef>
              <c:f>'Eingabemaske &amp; Liniendia'!$K$10:$K$21</c:f>
              <c:numCache>
                <c:formatCode>_(* #,##0.00_);_(* \(#,##0.00\);_(* "-"??_);_(@_)</c:formatCode>
                <c:ptCount val="12"/>
                <c:pt idx="0">
                  <c:v>7.3525</c:v>
                </c:pt>
                <c:pt idx="1">
                  <c:v>6.2675000000000001</c:v>
                </c:pt>
                <c:pt idx="2">
                  <c:v>5.6675000000000004</c:v>
                </c:pt>
                <c:pt idx="3">
                  <c:v>4.8425000000000002</c:v>
                </c:pt>
                <c:pt idx="4">
                  <c:v>4.5549999999999997</c:v>
                </c:pt>
                <c:pt idx="5">
                  <c:v>4.3049999999999997</c:v>
                </c:pt>
                <c:pt idx="6">
                  <c:v>4.3949999999999996</c:v>
                </c:pt>
                <c:pt idx="7">
                  <c:v>6.2249999999999996</c:v>
                </c:pt>
                <c:pt idx="8">
                  <c:v>7.9175000000000004</c:v>
                </c:pt>
                <c:pt idx="9">
                  <c:v>9.5325000000000006</c:v>
                </c:pt>
                <c:pt idx="10">
                  <c:v>10.870000000000001</c:v>
                </c:pt>
                <c:pt idx="11">
                  <c:v>11.5</c:v>
                </c:pt>
              </c:numCache>
            </c:numRef>
          </c:val>
          <c:smooth val="0"/>
        </c:ser>
        <c:dLbls>
          <c:showLegendKey val="0"/>
          <c:showVal val="0"/>
          <c:showCatName val="0"/>
          <c:showSerName val="0"/>
          <c:showPercent val="0"/>
          <c:showBubbleSize val="0"/>
        </c:dLbls>
        <c:marker val="1"/>
        <c:smooth val="0"/>
        <c:axId val="140122112"/>
        <c:axId val="163436736"/>
      </c:lineChart>
      <c:dateAx>
        <c:axId val="140122112"/>
        <c:scaling>
          <c:orientation val="minMax"/>
          <c:min val="44470"/>
        </c:scaling>
        <c:delete val="0"/>
        <c:axPos val="b"/>
        <c:numFmt formatCode="mmm\-yy" sourceLinked="1"/>
        <c:majorTickMark val="out"/>
        <c:minorTickMark val="none"/>
        <c:tickLblPos val="nextTo"/>
        <c:spPr>
          <a:ln w="25400"/>
        </c:spPr>
        <c:txPr>
          <a:bodyPr rot="-5400000" vert="horz"/>
          <a:lstStyle/>
          <a:p>
            <a:pPr>
              <a:defRPr sz="1200"/>
            </a:pPr>
            <a:endParaRPr lang="de-DE"/>
          </a:p>
        </c:txPr>
        <c:crossAx val="163436736"/>
        <c:crosses val="autoZero"/>
        <c:auto val="1"/>
        <c:lblOffset val="100"/>
        <c:baseTimeUnit val="months"/>
        <c:majorUnit val="1"/>
        <c:majorTimeUnit val="months"/>
      </c:dateAx>
      <c:valAx>
        <c:axId val="163436736"/>
        <c:scaling>
          <c:orientation val="minMax"/>
          <c:max val="12"/>
        </c:scaling>
        <c:delete val="0"/>
        <c:axPos val="l"/>
        <c:majorGridlines/>
        <c:numFmt formatCode="0" sourceLinked="0"/>
        <c:majorTickMark val="out"/>
        <c:minorTickMark val="none"/>
        <c:tickLblPos val="nextTo"/>
        <c:spPr>
          <a:ln w="25400"/>
        </c:spPr>
        <c:txPr>
          <a:bodyPr/>
          <a:lstStyle/>
          <a:p>
            <a:pPr>
              <a:defRPr sz="1200"/>
            </a:pPr>
            <a:endParaRPr lang="de-DE"/>
          </a:p>
        </c:txPr>
        <c:crossAx val="140122112"/>
        <c:crossesAt val="44470"/>
        <c:crossBetween val="between"/>
        <c:majorUnit val="1"/>
      </c:valAx>
      <c:spPr>
        <a:solidFill>
          <a:schemeClr val="bg1">
            <a:lumMod val="85000"/>
          </a:schemeClr>
        </a:solidFill>
      </c:spPr>
    </c:plotArea>
    <c:legend>
      <c:legendPos val="b"/>
      <c:overlay val="0"/>
      <c:txPr>
        <a:bodyPr/>
        <a:lstStyle/>
        <a:p>
          <a:pPr>
            <a:defRPr sz="1200"/>
          </a:pPr>
          <a:endParaRPr lang="de-DE"/>
        </a:p>
      </c:txPr>
    </c:legend>
    <c:plotVisOnly val="1"/>
    <c:dispBlanksAs val="gap"/>
    <c:showDLblsOverMax val="0"/>
  </c:chart>
  <c:spPr>
    <a:ln w="25400">
      <a:solidFill>
        <a:srgbClr val="0070C0"/>
      </a:solidFill>
    </a:ln>
  </c:spPr>
  <c:txPr>
    <a:bodyPr/>
    <a:lstStyle/>
    <a:p>
      <a:pPr>
        <a:defRPr b="0"/>
      </a:pPr>
      <a:endParaRPr lang="de-DE"/>
    </a:p>
  </c:txPr>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CH"/>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600"/>
            </a:pPr>
            <a:r>
              <a:rPr lang="de-CH" sz="1600" b="0" i="0" baseline="0">
                <a:effectLst/>
              </a:rPr>
              <a:t>Monatsfüllstand der Speicherseen in TWh (1. Okt. 2021 bis 30. Sept. 2022</a:t>
            </a:r>
            <a:r>
              <a:rPr lang="de-CH" sz="1600" b="0" i="0" u="none" baseline="0">
                <a:effectLst/>
              </a:rPr>
              <a:t>)</a:t>
            </a:r>
            <a:endParaRPr lang="de-CH" sz="1600" b="0" u="none">
              <a:effectLst/>
            </a:endParaRPr>
          </a:p>
        </c:rich>
      </c:tx>
      <c:overlay val="0"/>
    </c:title>
    <c:autoTitleDeleted val="0"/>
    <c:plotArea>
      <c:layout/>
      <c:barChart>
        <c:barDir val="col"/>
        <c:grouping val="stacked"/>
        <c:varyColors val="0"/>
        <c:ser>
          <c:idx val="0"/>
          <c:order val="0"/>
          <c:tx>
            <c:strRef>
              <c:f>'Eingabemaske &amp; Liniendia'!$B$8</c:f>
              <c:strCache>
                <c:ptCount val="1"/>
                <c:pt idx="0">
                  <c:v>Speicherstand eff. [TWh]</c:v>
                </c:pt>
              </c:strCache>
            </c:strRef>
          </c:tx>
          <c:spPr>
            <a:solidFill>
              <a:schemeClr val="accent1">
                <a:alpha val="64000"/>
              </a:schemeClr>
            </a:solidFill>
            <a:ln w="9525" cmpd="sng">
              <a:solidFill>
                <a:schemeClr val="tx1"/>
              </a:solidFill>
              <a:prstDash val="solid"/>
            </a:ln>
          </c:spPr>
          <c:invertIfNegative val="0"/>
          <c:dLbls>
            <c:showLegendKey val="0"/>
            <c:showVal val="1"/>
            <c:showCatName val="0"/>
            <c:showSerName val="0"/>
            <c:showPercent val="0"/>
            <c:showBubbleSize val="0"/>
            <c:showLeaderLines val="0"/>
          </c:dLbls>
          <c:cat>
            <c:numRef>
              <c:f>'Eingabemaske &amp; Liniendia'!$A$10:$A$21</c:f>
              <c:numCache>
                <c:formatCode>mmm\-yy</c:formatCode>
                <c:ptCount val="12"/>
                <c:pt idx="0">
                  <c:v>44470</c:v>
                </c:pt>
                <c:pt idx="1">
                  <c:v>44501</c:v>
                </c:pt>
                <c:pt idx="2">
                  <c:v>44531</c:v>
                </c:pt>
                <c:pt idx="3">
                  <c:v>44562</c:v>
                </c:pt>
                <c:pt idx="4">
                  <c:v>44593</c:v>
                </c:pt>
                <c:pt idx="5">
                  <c:v>44621</c:v>
                </c:pt>
                <c:pt idx="6">
                  <c:v>44652</c:v>
                </c:pt>
                <c:pt idx="7">
                  <c:v>44682</c:v>
                </c:pt>
                <c:pt idx="8">
                  <c:v>44713</c:v>
                </c:pt>
                <c:pt idx="9">
                  <c:v>44743</c:v>
                </c:pt>
                <c:pt idx="10">
                  <c:v>44774</c:v>
                </c:pt>
                <c:pt idx="11">
                  <c:v>44805</c:v>
                </c:pt>
              </c:numCache>
            </c:numRef>
          </c:cat>
          <c:val>
            <c:numRef>
              <c:f>'Eingabemaske &amp; Liniendia'!$B$10:$B$21</c:f>
              <c:numCache>
                <c:formatCode>0.0</c:formatCode>
                <c:ptCount val="12"/>
                <c:pt idx="0">
                  <c:v>7</c:v>
                </c:pt>
                <c:pt idx="1">
                  <c:v>5.6</c:v>
                </c:pt>
                <c:pt idx="2">
                  <c:v>4.7</c:v>
                </c:pt>
                <c:pt idx="3">
                  <c:v>3.5</c:v>
                </c:pt>
                <c:pt idx="4">
                  <c:v>2.8</c:v>
                </c:pt>
                <c:pt idx="5">
                  <c:v>2.1</c:v>
                </c:pt>
                <c:pt idx="6">
                  <c:v>1.8</c:v>
                </c:pt>
                <c:pt idx="7">
                  <c:v>3.3</c:v>
                </c:pt>
                <c:pt idx="8">
                  <c:v>4.7</c:v>
                </c:pt>
                <c:pt idx="9">
                  <c:v>6</c:v>
                </c:pt>
                <c:pt idx="10">
                  <c:v>7</c:v>
                </c:pt>
                <c:pt idx="11">
                  <c:v>7.3</c:v>
                </c:pt>
              </c:numCache>
            </c:numRef>
          </c:val>
        </c:ser>
        <c:ser>
          <c:idx val="5"/>
          <c:order val="1"/>
          <c:tx>
            <c:strRef>
              <c:f>'Eingabemaske &amp; Liniendia'!$L$8</c:f>
              <c:strCache>
                <c:ptCount val="1"/>
                <c:pt idx="0">
                  <c:v>Speicher Veränderung [TWh]</c:v>
                </c:pt>
              </c:strCache>
            </c:strRef>
          </c:tx>
          <c:spPr>
            <a:solidFill>
              <a:srgbClr val="FFFF00"/>
            </a:solidFill>
            <a:ln w="9525">
              <a:solidFill>
                <a:schemeClr val="tx1"/>
              </a:solidFill>
              <a:prstDash val="solid"/>
            </a:ln>
          </c:spPr>
          <c:invertIfNegative val="0"/>
          <c:dLbls>
            <c:showLegendKey val="0"/>
            <c:showVal val="1"/>
            <c:showCatName val="0"/>
            <c:showSerName val="0"/>
            <c:showPercent val="0"/>
            <c:showBubbleSize val="0"/>
            <c:showLeaderLines val="0"/>
          </c:dLbls>
          <c:val>
            <c:numRef>
              <c:f>'Eingabemaske &amp; Liniendia'!$L$10:$L$21</c:f>
              <c:numCache>
                <c:formatCode>_(* #,##0.00_);_(* \(#,##0.00\);_(* "-"??_);_(@_)</c:formatCode>
                <c:ptCount val="12"/>
                <c:pt idx="0">
                  <c:v>0.35250000000000004</c:v>
                </c:pt>
                <c:pt idx="1">
                  <c:v>0.66750000000000043</c:v>
                </c:pt>
                <c:pt idx="2">
                  <c:v>0.96750000000000025</c:v>
                </c:pt>
                <c:pt idx="3">
                  <c:v>1.3425000000000002</c:v>
                </c:pt>
                <c:pt idx="4">
                  <c:v>1.7549999999999999</c:v>
                </c:pt>
                <c:pt idx="5">
                  <c:v>2.2049999999999996</c:v>
                </c:pt>
                <c:pt idx="6">
                  <c:v>2.5949999999999998</c:v>
                </c:pt>
                <c:pt idx="7">
                  <c:v>2.9249999999999998</c:v>
                </c:pt>
                <c:pt idx="8">
                  <c:v>3.2175000000000002</c:v>
                </c:pt>
                <c:pt idx="9">
                  <c:v>2.8000000000000007</c:v>
                </c:pt>
                <c:pt idx="10">
                  <c:v>1.8000000000000007</c:v>
                </c:pt>
                <c:pt idx="11">
                  <c:v>1.5000000000000009</c:v>
                </c:pt>
              </c:numCache>
            </c:numRef>
          </c:val>
        </c:ser>
        <c:ser>
          <c:idx val="1"/>
          <c:order val="3"/>
          <c:tx>
            <c:strRef>
              <c:f>'Eingabemaske &amp; Liniendia'!$N$8</c:f>
              <c:strCache>
                <c:ptCount val="1"/>
                <c:pt idx="0">
                  <c:v>zusätzlicher Export pro Monat</c:v>
                </c:pt>
              </c:strCache>
            </c:strRef>
          </c:tx>
          <c:spPr>
            <a:solidFill>
              <a:srgbClr val="91F7ED"/>
            </a:solidFill>
            <a:ln w="15875">
              <a:solidFill>
                <a:schemeClr val="tx1"/>
              </a:solidFill>
              <a:prstDash val="sysDash"/>
            </a:ln>
          </c:spPr>
          <c:invertIfNegative val="0"/>
          <c:val>
            <c:numRef>
              <c:f>'Eingabemaske &amp; Liniendia'!$N$10:$N$21</c:f>
              <c:numCache>
                <c:formatCode>0.00</c:formatCode>
                <c:ptCount val="12"/>
                <c:pt idx="0">
                  <c:v>0</c:v>
                </c:pt>
                <c:pt idx="1">
                  <c:v>0</c:v>
                </c:pt>
                <c:pt idx="2">
                  <c:v>0</c:v>
                </c:pt>
                <c:pt idx="3">
                  <c:v>0</c:v>
                </c:pt>
                <c:pt idx="4">
                  <c:v>0</c:v>
                </c:pt>
                <c:pt idx="5">
                  <c:v>0</c:v>
                </c:pt>
                <c:pt idx="6">
                  <c:v>0</c:v>
                </c:pt>
                <c:pt idx="7">
                  <c:v>0</c:v>
                </c:pt>
                <c:pt idx="8">
                  <c:v>0</c:v>
                </c:pt>
                <c:pt idx="9">
                  <c:v>0.73250000000000171</c:v>
                </c:pt>
                <c:pt idx="10">
                  <c:v>1.3375000000000004</c:v>
                </c:pt>
                <c:pt idx="11">
                  <c:v>0.62999999999999901</c:v>
                </c:pt>
              </c:numCache>
            </c:numRef>
          </c:val>
        </c:ser>
        <c:ser>
          <c:idx val="3"/>
          <c:order val="4"/>
          <c:tx>
            <c:strRef>
              <c:f>'Eingabemaske &amp; Liniendia'!$O$8</c:f>
              <c:strCache>
                <c:ptCount val="1"/>
                <c:pt idx="0">
                  <c:v>zusätzlicher Import pro Monat</c:v>
                </c:pt>
              </c:strCache>
            </c:strRef>
          </c:tx>
          <c:spPr>
            <a:solidFill>
              <a:srgbClr val="FFC1C1">
                <a:alpha val="48000"/>
              </a:srgbClr>
            </a:solidFill>
            <a:ln w="15875">
              <a:solidFill>
                <a:schemeClr val="tx1"/>
              </a:solidFill>
              <a:prstDash val="sysDash"/>
            </a:ln>
          </c:spPr>
          <c:invertIfNegative val="0"/>
          <c:val>
            <c:numRef>
              <c:f>'Eingabemaske &amp; Liniendia'!$O$10:$O$21</c:f>
              <c:numCache>
                <c:formatCode>0.00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er>
        <c:dLbls>
          <c:showLegendKey val="0"/>
          <c:showVal val="0"/>
          <c:showCatName val="0"/>
          <c:showSerName val="0"/>
          <c:showPercent val="0"/>
          <c:showBubbleSize val="0"/>
        </c:dLbls>
        <c:gapWidth val="150"/>
        <c:overlap val="100"/>
        <c:axId val="139436544"/>
        <c:axId val="139289728"/>
      </c:barChart>
      <c:lineChart>
        <c:grouping val="standard"/>
        <c:varyColors val="0"/>
        <c:ser>
          <c:idx val="2"/>
          <c:order val="2"/>
          <c:tx>
            <c:strRef>
              <c:f>'Eingabemaske &amp; Liniendia'!$Q$9</c:f>
              <c:strCache>
                <c:ptCount val="1"/>
                <c:pt idx="0">
                  <c:v>Maximum Speicher</c:v>
                </c:pt>
              </c:strCache>
            </c:strRef>
          </c:tx>
          <c:spPr>
            <a:ln w="25400">
              <a:solidFill>
                <a:srgbClr val="00B0F0"/>
              </a:solidFill>
              <a:prstDash val="dash"/>
            </a:ln>
          </c:spPr>
          <c:marker>
            <c:symbol val="none"/>
          </c:marker>
          <c:val>
            <c:numRef>
              <c:f>'Eingabemaske &amp; Liniendia'!$Q$10:$Q$21</c:f>
              <c:numCache>
                <c:formatCode>General</c:formatCode>
                <c:ptCount val="12"/>
                <c:pt idx="0">
                  <c:v>8.8000000000000007</c:v>
                </c:pt>
                <c:pt idx="1">
                  <c:v>8.8000000000000007</c:v>
                </c:pt>
                <c:pt idx="2">
                  <c:v>8.8000000000000007</c:v>
                </c:pt>
                <c:pt idx="3">
                  <c:v>8.8000000000000007</c:v>
                </c:pt>
                <c:pt idx="4">
                  <c:v>8.8000000000000007</c:v>
                </c:pt>
                <c:pt idx="5">
                  <c:v>8.8000000000000007</c:v>
                </c:pt>
                <c:pt idx="6">
                  <c:v>8.8000000000000007</c:v>
                </c:pt>
                <c:pt idx="7">
                  <c:v>8.8000000000000007</c:v>
                </c:pt>
                <c:pt idx="8">
                  <c:v>8.8000000000000007</c:v>
                </c:pt>
                <c:pt idx="9">
                  <c:v>8.8000000000000007</c:v>
                </c:pt>
                <c:pt idx="10">
                  <c:v>8.8000000000000007</c:v>
                </c:pt>
                <c:pt idx="11">
                  <c:v>8.8000000000000007</c:v>
                </c:pt>
              </c:numCache>
            </c:numRef>
          </c:val>
          <c:smooth val="0"/>
        </c:ser>
        <c:ser>
          <c:idx val="4"/>
          <c:order val="5"/>
          <c:tx>
            <c:strRef>
              <c:f>'Eingabemaske &amp; Liniendia'!$M$8</c:f>
              <c:strCache>
                <c:ptCount val="1"/>
                <c:pt idx="0">
                  <c:v>Speicherstand neu mit Limiten</c:v>
                </c:pt>
              </c:strCache>
            </c:strRef>
          </c:tx>
          <c:spPr>
            <a:ln>
              <a:noFill/>
            </a:ln>
          </c:spPr>
          <c:marker>
            <c:symbol val="dash"/>
            <c:size val="12"/>
            <c:spPr>
              <a:solidFill>
                <a:srgbClr val="FF0000"/>
              </a:solidFill>
              <a:ln>
                <a:solidFill>
                  <a:srgbClr val="FF0000"/>
                </a:solidFill>
              </a:ln>
            </c:spPr>
          </c:marker>
          <c:val>
            <c:numRef>
              <c:f>'Eingabemaske &amp; Liniendia'!$M$10:$M$21</c:f>
              <c:numCache>
                <c:formatCode>0.00</c:formatCode>
                <c:ptCount val="12"/>
                <c:pt idx="0">
                  <c:v>7.3525</c:v>
                </c:pt>
                <c:pt idx="1">
                  <c:v>6.267500000000001</c:v>
                </c:pt>
                <c:pt idx="2">
                  <c:v>5.6675000000000022</c:v>
                </c:pt>
                <c:pt idx="3">
                  <c:v>4.8425000000000011</c:v>
                </c:pt>
                <c:pt idx="4">
                  <c:v>4.5550000000000006</c:v>
                </c:pt>
                <c:pt idx="5">
                  <c:v>4.3049999999999997</c:v>
                </c:pt>
                <c:pt idx="6">
                  <c:v>4.3949999999999996</c:v>
                </c:pt>
                <c:pt idx="7">
                  <c:v>6.2249999999999996</c:v>
                </c:pt>
                <c:pt idx="8">
                  <c:v>7.9175000000000004</c:v>
                </c:pt>
                <c:pt idx="9">
                  <c:v>8.8000000000000007</c:v>
                </c:pt>
                <c:pt idx="10">
                  <c:v>8.8000000000000007</c:v>
                </c:pt>
                <c:pt idx="11">
                  <c:v>8.8000000000000007</c:v>
                </c:pt>
              </c:numCache>
            </c:numRef>
          </c:val>
          <c:smooth val="0"/>
        </c:ser>
        <c:dLbls>
          <c:showLegendKey val="0"/>
          <c:showVal val="0"/>
          <c:showCatName val="0"/>
          <c:showSerName val="0"/>
          <c:showPercent val="0"/>
          <c:showBubbleSize val="0"/>
        </c:dLbls>
        <c:marker val="1"/>
        <c:smooth val="0"/>
        <c:axId val="139436544"/>
        <c:axId val="139289728"/>
      </c:lineChart>
      <c:dateAx>
        <c:axId val="139436544"/>
        <c:scaling>
          <c:orientation val="minMax"/>
          <c:min val="44470"/>
        </c:scaling>
        <c:delete val="0"/>
        <c:axPos val="b"/>
        <c:numFmt formatCode="mmm\-yy" sourceLinked="1"/>
        <c:majorTickMark val="out"/>
        <c:minorTickMark val="none"/>
        <c:tickLblPos val="nextTo"/>
        <c:spPr>
          <a:ln w="25400"/>
        </c:spPr>
        <c:txPr>
          <a:bodyPr rot="-5400000" vert="horz" anchor="t" anchorCtr="0"/>
          <a:lstStyle/>
          <a:p>
            <a:pPr>
              <a:defRPr sz="1200"/>
            </a:pPr>
            <a:endParaRPr lang="de-DE"/>
          </a:p>
        </c:txPr>
        <c:crossAx val="139289728"/>
        <c:crosses val="autoZero"/>
        <c:auto val="1"/>
        <c:lblOffset val="100"/>
        <c:baseTimeUnit val="months"/>
        <c:majorUnit val="1"/>
        <c:majorTimeUnit val="months"/>
      </c:dateAx>
      <c:valAx>
        <c:axId val="139289728"/>
        <c:scaling>
          <c:orientation val="minMax"/>
          <c:max val="12"/>
        </c:scaling>
        <c:delete val="0"/>
        <c:axPos val="l"/>
        <c:majorGridlines/>
        <c:numFmt formatCode="0" sourceLinked="0"/>
        <c:majorTickMark val="out"/>
        <c:minorTickMark val="none"/>
        <c:tickLblPos val="nextTo"/>
        <c:spPr>
          <a:ln w="31750"/>
        </c:spPr>
        <c:txPr>
          <a:bodyPr/>
          <a:lstStyle/>
          <a:p>
            <a:pPr>
              <a:defRPr sz="1200"/>
            </a:pPr>
            <a:endParaRPr lang="de-DE"/>
          </a:p>
        </c:txPr>
        <c:crossAx val="139436544"/>
        <c:crossesAt val="44470"/>
        <c:crossBetween val="between"/>
        <c:majorUnit val="1"/>
      </c:valAx>
      <c:spPr>
        <a:solidFill>
          <a:schemeClr val="bg1">
            <a:lumMod val="85000"/>
          </a:schemeClr>
        </a:solidFill>
      </c:spPr>
    </c:plotArea>
    <c:legend>
      <c:legendPos val="b"/>
      <c:overlay val="0"/>
      <c:txPr>
        <a:bodyPr/>
        <a:lstStyle/>
        <a:p>
          <a:pPr>
            <a:defRPr sz="1200"/>
          </a:pPr>
          <a:endParaRPr lang="de-DE"/>
        </a:p>
      </c:txPr>
    </c:legend>
    <c:plotVisOnly val="1"/>
    <c:dispBlanksAs val="gap"/>
    <c:showDLblsOverMax val="0"/>
  </c:chart>
  <c:spPr>
    <a:ln w="25400">
      <a:solidFill>
        <a:srgbClr val="00B050"/>
      </a:solidFill>
    </a:ln>
  </c:spPr>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CH"/>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de-CH" sz="1200" b="0" i="0" baseline="0">
                <a:effectLst/>
              </a:rPr>
              <a:t>Monatsfüllstand der Speicherseen in TWh</a:t>
            </a:r>
            <a:endParaRPr lang="de-CH" sz="1200">
              <a:effectLst/>
            </a:endParaRPr>
          </a:p>
        </c:rich>
      </c:tx>
      <c:overlay val="0"/>
    </c:title>
    <c:autoTitleDeleted val="0"/>
    <c:plotArea>
      <c:layout/>
      <c:barChart>
        <c:barDir val="col"/>
        <c:grouping val="clustered"/>
        <c:varyColors val="0"/>
        <c:ser>
          <c:idx val="3"/>
          <c:order val="3"/>
          <c:tx>
            <c:strRef>
              <c:f>'Eingabemaske &amp; Liniendia (2)'!$N$8</c:f>
              <c:strCache>
                <c:ptCount val="1"/>
                <c:pt idx="0">
                  <c:v>zusätzlicher Export pro Monat</c:v>
                </c:pt>
              </c:strCache>
            </c:strRef>
          </c:tx>
          <c:spPr>
            <a:solidFill>
              <a:srgbClr val="91F7ED"/>
            </a:solidFill>
            <a:ln w="15875">
              <a:solidFill>
                <a:schemeClr val="tx1"/>
              </a:solidFill>
            </a:ln>
          </c:spPr>
          <c:invertIfNegative val="0"/>
          <c:val>
            <c:numRef>
              <c:f>'Eingabemaske &amp; Liniendia (2)'!$N$10:$N$21</c:f>
              <c:numCache>
                <c:formatCode>0.00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4"/>
          <c:order val="4"/>
          <c:tx>
            <c:strRef>
              <c:f>'Eingabemaske &amp; Liniendia (2)'!$O$8</c:f>
              <c:strCache>
                <c:ptCount val="1"/>
                <c:pt idx="0">
                  <c:v>zusätzlicher Import pro Monat</c:v>
                </c:pt>
              </c:strCache>
            </c:strRef>
          </c:tx>
          <c:spPr>
            <a:solidFill>
              <a:srgbClr val="FFC000">
                <a:alpha val="50000"/>
              </a:srgbClr>
            </a:solidFill>
            <a:ln w="3175" cmpd="sng">
              <a:solidFill>
                <a:schemeClr val="accent1"/>
              </a:solidFill>
              <a:prstDash val="solid"/>
            </a:ln>
          </c:spPr>
          <c:invertIfNegative val="0"/>
          <c:val>
            <c:numRef>
              <c:f>'Eingabemaske &amp; Liniendia (2)'!$O$10:$O$21</c:f>
              <c:numCache>
                <c:formatCode>0.00</c:formatCode>
                <c:ptCount val="12"/>
                <c:pt idx="0">
                  <c:v>0</c:v>
                </c:pt>
                <c:pt idx="1">
                  <c:v>0</c:v>
                </c:pt>
                <c:pt idx="2">
                  <c:v>0</c:v>
                </c:pt>
                <c:pt idx="3">
                  <c:v>0</c:v>
                </c:pt>
                <c:pt idx="4">
                  <c:v>1.0333333333333341</c:v>
                </c:pt>
                <c:pt idx="5">
                  <c:v>1.3666666666666663</c:v>
                </c:pt>
                <c:pt idx="6">
                  <c:v>0.96666666666666679</c:v>
                </c:pt>
                <c:pt idx="7">
                  <c:v>0</c:v>
                </c:pt>
                <c:pt idx="8">
                  <c:v>0</c:v>
                </c:pt>
                <c:pt idx="9">
                  <c:v>0</c:v>
                </c:pt>
                <c:pt idx="10">
                  <c:v>0</c:v>
                </c:pt>
                <c:pt idx="11">
                  <c:v>0</c:v>
                </c:pt>
              </c:numCache>
            </c:numRef>
          </c:val>
        </c:ser>
        <c:dLbls>
          <c:showLegendKey val="0"/>
          <c:showVal val="0"/>
          <c:showCatName val="0"/>
          <c:showSerName val="0"/>
          <c:showPercent val="0"/>
          <c:showBubbleSize val="0"/>
        </c:dLbls>
        <c:gapWidth val="138"/>
        <c:overlap val="100"/>
        <c:axId val="139438080"/>
        <c:axId val="139290880"/>
      </c:barChart>
      <c:lineChart>
        <c:grouping val="standard"/>
        <c:varyColors val="0"/>
        <c:ser>
          <c:idx val="0"/>
          <c:order val="0"/>
          <c:tx>
            <c:strRef>
              <c:f>'Eingabemaske &amp; Liniendia (2)'!$B$8</c:f>
              <c:strCache>
                <c:ptCount val="1"/>
                <c:pt idx="0">
                  <c:v>Speicherstand eff. [TWh]</c:v>
                </c:pt>
              </c:strCache>
            </c:strRef>
          </c:tx>
          <c:marker>
            <c:symbol val="square"/>
            <c:size val="5"/>
          </c:marker>
          <c:cat>
            <c:numRef>
              <c:f>'Eingabemaske &amp; Liniendia (2)'!$A$10:$A$21</c:f>
              <c:numCache>
                <c:formatCode>mmm\-yy</c:formatCode>
                <c:ptCount val="12"/>
                <c:pt idx="0">
                  <c:v>44470</c:v>
                </c:pt>
                <c:pt idx="1">
                  <c:v>44501</c:v>
                </c:pt>
                <c:pt idx="2">
                  <c:v>44531</c:v>
                </c:pt>
                <c:pt idx="3">
                  <c:v>44562</c:v>
                </c:pt>
                <c:pt idx="4">
                  <c:v>44593</c:v>
                </c:pt>
                <c:pt idx="5">
                  <c:v>44621</c:v>
                </c:pt>
                <c:pt idx="6">
                  <c:v>44652</c:v>
                </c:pt>
                <c:pt idx="7">
                  <c:v>44682</c:v>
                </c:pt>
                <c:pt idx="8">
                  <c:v>44713</c:v>
                </c:pt>
                <c:pt idx="9">
                  <c:v>44743</c:v>
                </c:pt>
                <c:pt idx="10">
                  <c:v>44774</c:v>
                </c:pt>
                <c:pt idx="11">
                  <c:v>44805</c:v>
                </c:pt>
              </c:numCache>
            </c:numRef>
          </c:cat>
          <c:val>
            <c:numRef>
              <c:f>'Eingabemaske &amp; Liniendia (2)'!$B$10:$B$21</c:f>
              <c:numCache>
                <c:formatCode>0.0</c:formatCode>
                <c:ptCount val="12"/>
                <c:pt idx="0">
                  <c:v>7</c:v>
                </c:pt>
                <c:pt idx="1">
                  <c:v>5.6</c:v>
                </c:pt>
                <c:pt idx="2">
                  <c:v>4.7</c:v>
                </c:pt>
                <c:pt idx="3">
                  <c:v>3.5</c:v>
                </c:pt>
                <c:pt idx="4">
                  <c:v>2.8</c:v>
                </c:pt>
                <c:pt idx="5">
                  <c:v>2.1</c:v>
                </c:pt>
                <c:pt idx="6">
                  <c:v>1.8</c:v>
                </c:pt>
                <c:pt idx="7">
                  <c:v>3.3</c:v>
                </c:pt>
                <c:pt idx="8">
                  <c:v>4.7</c:v>
                </c:pt>
                <c:pt idx="9">
                  <c:v>6</c:v>
                </c:pt>
                <c:pt idx="10">
                  <c:v>7</c:v>
                </c:pt>
                <c:pt idx="11">
                  <c:v>7.3</c:v>
                </c:pt>
              </c:numCache>
            </c:numRef>
          </c:val>
          <c:smooth val="0"/>
        </c:ser>
        <c:ser>
          <c:idx val="1"/>
          <c:order val="1"/>
          <c:tx>
            <c:strRef>
              <c:f>'Eingabemaske &amp; Liniendia (2)'!$M$8</c:f>
              <c:strCache>
                <c:ptCount val="1"/>
                <c:pt idx="0">
                  <c:v>Speicherstand neu mit Limiten</c:v>
                </c:pt>
              </c:strCache>
            </c:strRef>
          </c:tx>
          <c:spPr>
            <a:ln>
              <a:solidFill>
                <a:srgbClr val="FF0000"/>
              </a:solidFill>
            </a:ln>
          </c:spPr>
          <c:marker>
            <c:symbol val="square"/>
            <c:size val="5"/>
            <c:spPr>
              <a:solidFill>
                <a:srgbClr val="FF0000"/>
              </a:solidFill>
            </c:spPr>
          </c:marker>
          <c:cat>
            <c:numRef>
              <c:f>'Eingabemaske &amp; Liniendia (2)'!$A$10:$A$21</c:f>
              <c:numCache>
                <c:formatCode>mmm\-yy</c:formatCode>
                <c:ptCount val="12"/>
                <c:pt idx="0">
                  <c:v>44470</c:v>
                </c:pt>
                <c:pt idx="1">
                  <c:v>44501</c:v>
                </c:pt>
                <c:pt idx="2">
                  <c:v>44531</c:v>
                </c:pt>
                <c:pt idx="3">
                  <c:v>44562</c:v>
                </c:pt>
                <c:pt idx="4">
                  <c:v>44593</c:v>
                </c:pt>
                <c:pt idx="5">
                  <c:v>44621</c:v>
                </c:pt>
                <c:pt idx="6">
                  <c:v>44652</c:v>
                </c:pt>
                <c:pt idx="7">
                  <c:v>44682</c:v>
                </c:pt>
                <c:pt idx="8">
                  <c:v>44713</c:v>
                </c:pt>
                <c:pt idx="9">
                  <c:v>44743</c:v>
                </c:pt>
                <c:pt idx="10">
                  <c:v>44774</c:v>
                </c:pt>
                <c:pt idx="11">
                  <c:v>44805</c:v>
                </c:pt>
              </c:numCache>
            </c:numRef>
          </c:cat>
          <c:val>
            <c:numRef>
              <c:f>'Eingabemaske &amp; Liniendia (2)'!$M$10:$M$21</c:f>
              <c:numCache>
                <c:formatCode>0.00</c:formatCode>
                <c:ptCount val="12"/>
                <c:pt idx="0">
                  <c:v>6.333333333333333</c:v>
                </c:pt>
                <c:pt idx="1">
                  <c:v>4.2666666666666648</c:v>
                </c:pt>
                <c:pt idx="2">
                  <c:v>2.6999999999999993</c:v>
                </c:pt>
                <c:pt idx="3">
                  <c:v>0.83333333333333259</c:v>
                </c:pt>
                <c:pt idx="4">
                  <c:v>0.5</c:v>
                </c:pt>
                <c:pt idx="5">
                  <c:v>0.5</c:v>
                </c:pt>
                <c:pt idx="6">
                  <c:v>0.5</c:v>
                </c:pt>
                <c:pt idx="7">
                  <c:v>1.333333333333333</c:v>
                </c:pt>
                <c:pt idx="8">
                  <c:v>2.0666666666666669</c:v>
                </c:pt>
                <c:pt idx="9">
                  <c:v>2.7</c:v>
                </c:pt>
                <c:pt idx="10">
                  <c:v>3.0333333333333337</c:v>
                </c:pt>
                <c:pt idx="11">
                  <c:v>2.666666666666667</c:v>
                </c:pt>
              </c:numCache>
            </c:numRef>
          </c:val>
          <c:smooth val="0"/>
        </c:ser>
        <c:ser>
          <c:idx val="2"/>
          <c:order val="2"/>
          <c:tx>
            <c:strRef>
              <c:f>'Eingabemaske &amp; Liniendia (2)'!$P$8</c:f>
              <c:strCache>
                <c:ptCount val="1"/>
                <c:pt idx="0">
                  <c:v>Speicher [TWh]</c:v>
                </c:pt>
              </c:strCache>
            </c:strRef>
          </c:tx>
          <c:spPr>
            <a:ln w="25400">
              <a:solidFill>
                <a:srgbClr val="00B0F0"/>
              </a:solidFill>
              <a:prstDash val="dash"/>
            </a:ln>
          </c:spPr>
          <c:marker>
            <c:symbol val="none"/>
          </c:marker>
          <c:val>
            <c:numRef>
              <c:f>'Eingabemaske &amp; Liniendia (2)'!$Q$10:$Q$21</c:f>
              <c:numCache>
                <c:formatCode>General</c:formatCode>
                <c:ptCount val="12"/>
                <c:pt idx="0">
                  <c:v>8.8000000000000007</c:v>
                </c:pt>
                <c:pt idx="1">
                  <c:v>8.8000000000000007</c:v>
                </c:pt>
                <c:pt idx="2">
                  <c:v>8.8000000000000007</c:v>
                </c:pt>
                <c:pt idx="3">
                  <c:v>8.8000000000000007</c:v>
                </c:pt>
                <c:pt idx="4">
                  <c:v>8.8000000000000007</c:v>
                </c:pt>
                <c:pt idx="5">
                  <c:v>8.8000000000000007</c:v>
                </c:pt>
                <c:pt idx="6">
                  <c:v>8.8000000000000007</c:v>
                </c:pt>
                <c:pt idx="7">
                  <c:v>8.8000000000000007</c:v>
                </c:pt>
                <c:pt idx="8">
                  <c:v>8.8000000000000007</c:v>
                </c:pt>
                <c:pt idx="9">
                  <c:v>8.8000000000000007</c:v>
                </c:pt>
                <c:pt idx="10">
                  <c:v>8.8000000000000007</c:v>
                </c:pt>
                <c:pt idx="11">
                  <c:v>8.8000000000000007</c:v>
                </c:pt>
              </c:numCache>
            </c:numRef>
          </c:val>
          <c:smooth val="0"/>
        </c:ser>
        <c:ser>
          <c:idx val="5"/>
          <c:order val="5"/>
          <c:tx>
            <c:strRef>
              <c:f>'Eingabemaske &amp; Liniendia (2)'!$K$8</c:f>
              <c:strCache>
                <c:ptCount val="1"/>
                <c:pt idx="0">
                  <c:v>Speicherstand neu ohne Limiten</c:v>
                </c:pt>
              </c:strCache>
            </c:strRef>
          </c:tx>
          <c:spPr>
            <a:ln w="25400">
              <a:solidFill>
                <a:srgbClr val="FF0D0D"/>
              </a:solidFill>
              <a:prstDash val="sysDot"/>
            </a:ln>
          </c:spPr>
          <c:marker>
            <c:symbol val="square"/>
            <c:size val="3"/>
            <c:spPr>
              <a:solidFill>
                <a:srgbClr val="FF0000"/>
              </a:solidFill>
            </c:spPr>
          </c:marker>
          <c:val>
            <c:numRef>
              <c:f>'Eingabemaske &amp; Liniendia (2)'!$K$10:$K$21</c:f>
              <c:numCache>
                <c:formatCode>_(* #,##0.00_);_(* \(#,##0.00\);_(* "-"??_);_(@_)</c:formatCode>
                <c:ptCount val="12"/>
                <c:pt idx="0">
                  <c:v>6.333333333333333</c:v>
                </c:pt>
                <c:pt idx="1">
                  <c:v>4.2666666666666657</c:v>
                </c:pt>
                <c:pt idx="2">
                  <c:v>2.6999999999999997</c:v>
                </c:pt>
                <c:pt idx="3">
                  <c:v>0.83333333333333304</c:v>
                </c:pt>
                <c:pt idx="4">
                  <c:v>-0.53333333333333366</c:v>
                </c:pt>
                <c:pt idx="5">
                  <c:v>-1.9</c:v>
                </c:pt>
                <c:pt idx="6">
                  <c:v>-2.8666666666666667</c:v>
                </c:pt>
                <c:pt idx="7">
                  <c:v>-2.0333333333333337</c:v>
                </c:pt>
                <c:pt idx="8">
                  <c:v>-1.2999999999999998</c:v>
                </c:pt>
                <c:pt idx="9">
                  <c:v>-0.66666666666666663</c:v>
                </c:pt>
                <c:pt idx="10">
                  <c:v>-0.33333333333333326</c:v>
                </c:pt>
                <c:pt idx="11">
                  <c:v>-0.70000000000000007</c:v>
                </c:pt>
              </c:numCache>
            </c:numRef>
          </c:val>
          <c:smooth val="0"/>
        </c:ser>
        <c:dLbls>
          <c:showLegendKey val="0"/>
          <c:showVal val="0"/>
          <c:showCatName val="0"/>
          <c:showSerName val="0"/>
          <c:showPercent val="0"/>
          <c:showBubbleSize val="0"/>
        </c:dLbls>
        <c:marker val="1"/>
        <c:smooth val="0"/>
        <c:axId val="139438080"/>
        <c:axId val="139290880"/>
      </c:lineChart>
      <c:dateAx>
        <c:axId val="139438080"/>
        <c:scaling>
          <c:orientation val="minMax"/>
          <c:min val="44470"/>
        </c:scaling>
        <c:delete val="0"/>
        <c:axPos val="b"/>
        <c:numFmt formatCode="mmm\-yy" sourceLinked="1"/>
        <c:majorTickMark val="out"/>
        <c:minorTickMark val="none"/>
        <c:tickLblPos val="nextTo"/>
        <c:spPr>
          <a:ln w="25400"/>
        </c:spPr>
        <c:txPr>
          <a:bodyPr rot="-5400000" vert="horz" anchor="t" anchorCtr="0"/>
          <a:lstStyle/>
          <a:p>
            <a:pPr>
              <a:defRPr/>
            </a:pPr>
            <a:endParaRPr lang="de-DE"/>
          </a:p>
        </c:txPr>
        <c:crossAx val="139290880"/>
        <c:crosses val="autoZero"/>
        <c:auto val="1"/>
        <c:lblOffset val="100"/>
        <c:baseTimeUnit val="months"/>
        <c:majorUnit val="1"/>
        <c:majorTimeUnit val="months"/>
      </c:dateAx>
      <c:valAx>
        <c:axId val="139290880"/>
        <c:scaling>
          <c:orientation val="minMax"/>
          <c:max val="12"/>
        </c:scaling>
        <c:delete val="0"/>
        <c:axPos val="l"/>
        <c:majorGridlines>
          <c:spPr>
            <a:ln w="6350">
              <a:solidFill>
                <a:schemeClr val="tx1"/>
              </a:solidFill>
            </a:ln>
          </c:spPr>
        </c:majorGridlines>
        <c:numFmt formatCode="0" sourceLinked="0"/>
        <c:majorTickMark val="out"/>
        <c:minorTickMark val="none"/>
        <c:tickLblPos val="nextTo"/>
        <c:spPr>
          <a:ln w="25400"/>
        </c:spPr>
        <c:crossAx val="139438080"/>
        <c:crossesAt val="44470"/>
        <c:crossBetween val="between"/>
        <c:majorUnit val="1"/>
      </c:valAx>
    </c:plotArea>
    <c:legend>
      <c:legendPos val="b"/>
      <c:overlay val="0"/>
    </c:legend>
    <c:plotVisOnly val="1"/>
    <c:dispBlanksAs val="gap"/>
    <c:showDLblsOverMax val="0"/>
  </c:chart>
  <c:spPr>
    <a:ln w="44450">
      <a:solidFill>
        <a:srgbClr val="0070C0"/>
      </a:solidFill>
    </a:ln>
  </c:spPr>
  <c:printSettings>
    <c:headerFooter/>
    <c:pageMargins b="0.78740157499999996" l="0.7" r="0.7" t="0.78740157499999996" header="0.3" footer="0.3"/>
    <c:pageSetup/>
  </c:printSettings>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chartsheets/sheet1.xml><?xml version="1.0" encoding="utf-8"?>
<chartsheet xmlns="http://schemas.openxmlformats.org/spreadsheetml/2006/main" xmlns:r="http://schemas.openxmlformats.org/officeDocument/2006/relationships">
  <sheetPr codeName="Diagramm2"/>
  <sheetViews>
    <sheetView zoomScale="122" workbookViewId="0" zoomToFit="1"/>
  </sheetViews>
  <sheetProtection password="DDE6" content="1" objects="1"/>
  <pageMargins left="0.7" right="0.7" top="0.78740157499999996" bottom="0.78740157499999996" header="0.3" footer="0.3"/>
  <pageSetup paperSize="9" orientation="landscape" horizontalDpi="300" verticalDpi="300" r:id="rId1"/>
  <drawing r:id="rId2"/>
</chartsheet>
</file>

<file path=xl/chartsheets/sheet2.xml><?xml version="1.0" encoding="utf-8"?>
<chartsheet xmlns="http://schemas.openxmlformats.org/spreadsheetml/2006/main" xmlns:r="http://schemas.openxmlformats.org/officeDocument/2006/relationships">
  <sheetPr codeName="Diagramm3"/>
  <sheetViews>
    <sheetView zoomScale="122" workbookViewId="0" zoomToFit="1"/>
  </sheetViews>
  <sheetProtection password="DDE6" content="1" objects="1"/>
  <pageMargins left="0.7" right="0.7" top="0.78740157499999996" bottom="0.78740157499999996" header="0.3" footer="0.3"/>
  <pageSetup paperSize="9" orientation="landscape" horizontalDpi="300" verticalDpi="300" r:id="rId1"/>
  <drawing r:id="rId2"/>
</chartsheet>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xdr:from>
      <xdr:col>10</xdr:col>
      <xdr:colOff>122597</xdr:colOff>
      <xdr:row>23</xdr:row>
      <xdr:rowOff>238159</xdr:rowOff>
    </xdr:from>
    <xdr:to>
      <xdr:col>16</xdr:col>
      <xdr:colOff>537217</xdr:colOff>
      <xdr:row>46</xdr:row>
      <xdr:rowOff>100987</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27</xdr:row>
      <xdr:rowOff>0</xdr:rowOff>
    </xdr:from>
    <xdr:to>
      <xdr:col>4</xdr:col>
      <xdr:colOff>298881</xdr:colOff>
      <xdr:row>46</xdr:row>
      <xdr:rowOff>113392</xdr:rowOff>
    </xdr:to>
    <xdr:pic>
      <xdr:nvPicPr>
        <xdr:cNvPr id="3" name="Grafik 2"/>
        <xdr:cNvPicPr>
          <a:picLocks noChangeAspect="1"/>
        </xdr:cNvPicPr>
      </xdr:nvPicPr>
      <xdr:blipFill>
        <a:blip xmlns:r="http://schemas.openxmlformats.org/officeDocument/2006/relationships" r:embed="rId2"/>
        <a:stretch>
          <a:fillRect/>
        </a:stretch>
      </xdr:blipFill>
      <xdr:spPr>
        <a:xfrm>
          <a:off x="0" y="4977946"/>
          <a:ext cx="3961470" cy="3333750"/>
        </a:xfrm>
        <a:prstGeom prst="rect">
          <a:avLst/>
        </a:prstGeom>
      </xdr:spPr>
    </xdr:pic>
    <xdr:clientData/>
  </xdr:twoCellAnchor>
  <xdr:twoCellAnchor editAs="oneCell">
    <xdr:from>
      <xdr:col>4</xdr:col>
      <xdr:colOff>351519</xdr:colOff>
      <xdr:row>27</xdr:row>
      <xdr:rowOff>0</xdr:rowOff>
    </xdr:from>
    <xdr:to>
      <xdr:col>9</xdr:col>
      <xdr:colOff>725715</xdr:colOff>
      <xdr:row>46</xdr:row>
      <xdr:rowOff>111339</xdr:rowOff>
    </xdr:to>
    <xdr:pic>
      <xdr:nvPicPr>
        <xdr:cNvPr id="9" name="Grafik 8"/>
        <xdr:cNvPicPr>
          <a:picLocks noChangeAspect="1"/>
        </xdr:cNvPicPr>
      </xdr:nvPicPr>
      <xdr:blipFill>
        <a:blip xmlns:r="http://schemas.openxmlformats.org/officeDocument/2006/relationships" r:embed="rId3"/>
        <a:stretch>
          <a:fillRect/>
        </a:stretch>
      </xdr:blipFill>
      <xdr:spPr>
        <a:xfrm>
          <a:off x="4014108" y="4977946"/>
          <a:ext cx="4263571" cy="333169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absoluteAnchor>
    <xdr:pos x="0" y="0"/>
    <xdr:ext cx="9306393" cy="6011680"/>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9306393" cy="6011680"/>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twoCellAnchor>
    <xdr:from>
      <xdr:col>10</xdr:col>
      <xdr:colOff>326280</xdr:colOff>
      <xdr:row>23</xdr:row>
      <xdr:rowOff>114759</xdr:rowOff>
    </xdr:from>
    <xdr:to>
      <xdr:col>18</xdr:col>
      <xdr:colOff>206567</xdr:colOff>
      <xdr:row>46</xdr:row>
      <xdr:rowOff>68856</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4</xdr:col>
      <xdr:colOff>313894</xdr:colOff>
      <xdr:row>27</xdr:row>
      <xdr:rowOff>0</xdr:rowOff>
    </xdr:from>
    <xdr:to>
      <xdr:col>9</xdr:col>
      <xdr:colOff>116848</xdr:colOff>
      <xdr:row>46</xdr:row>
      <xdr:rowOff>119061</xdr:rowOff>
    </xdr:to>
    <xdr:pic>
      <xdr:nvPicPr>
        <xdr:cNvPr id="3" name="Grafik 2"/>
        <xdr:cNvPicPr>
          <a:picLocks noChangeAspect="1"/>
        </xdr:cNvPicPr>
      </xdr:nvPicPr>
      <xdr:blipFill>
        <a:blip xmlns:r="http://schemas.openxmlformats.org/officeDocument/2006/relationships" r:embed="rId2"/>
        <a:stretch>
          <a:fillRect/>
        </a:stretch>
      </xdr:blipFill>
      <xdr:spPr>
        <a:xfrm>
          <a:off x="3990544" y="4962525"/>
          <a:ext cx="3698679" cy="3367087"/>
        </a:xfrm>
        <a:prstGeom prst="rect">
          <a:avLst/>
        </a:prstGeom>
      </xdr:spPr>
    </xdr:pic>
    <xdr:clientData/>
  </xdr:twoCellAnchor>
  <xdr:twoCellAnchor editAs="oneCell">
    <xdr:from>
      <xdr:col>0</xdr:col>
      <xdr:colOff>21649</xdr:colOff>
      <xdr:row>27</xdr:row>
      <xdr:rowOff>10825</xdr:rowOff>
    </xdr:from>
    <xdr:to>
      <xdr:col>4</xdr:col>
      <xdr:colOff>151534</xdr:colOff>
      <xdr:row>46</xdr:row>
      <xdr:rowOff>129885</xdr:rowOff>
    </xdr:to>
    <xdr:pic>
      <xdr:nvPicPr>
        <xdr:cNvPr id="4" name="Grafik 3"/>
        <xdr:cNvPicPr>
          <a:picLocks noChangeAspect="1"/>
        </xdr:cNvPicPr>
      </xdr:nvPicPr>
      <xdr:blipFill>
        <a:blip xmlns:r="http://schemas.openxmlformats.org/officeDocument/2006/relationships" r:embed="rId3"/>
        <a:stretch>
          <a:fillRect/>
        </a:stretch>
      </xdr:blipFill>
      <xdr:spPr>
        <a:xfrm>
          <a:off x="21649" y="4973350"/>
          <a:ext cx="3806535" cy="336708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341934</xdr:colOff>
      <xdr:row>25</xdr:row>
      <xdr:rowOff>152743</xdr:rowOff>
    </xdr:to>
    <xdr:pic>
      <xdr:nvPicPr>
        <xdr:cNvPr id="6" name="Grafik 5"/>
        <xdr:cNvPicPr>
          <a:picLocks noChangeAspect="1"/>
        </xdr:cNvPicPr>
      </xdr:nvPicPr>
      <xdr:blipFill>
        <a:blip xmlns:r="http://schemas.openxmlformats.org/officeDocument/2006/relationships" r:embed="rId1"/>
        <a:stretch>
          <a:fillRect/>
        </a:stretch>
      </xdr:blipFill>
      <xdr:spPr>
        <a:xfrm>
          <a:off x="762000" y="2162175"/>
          <a:ext cx="6437934" cy="3962743"/>
        </a:xfrm>
        <a:prstGeom prst="rect">
          <a:avLst/>
        </a:prstGeom>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6"/>
  <sheetViews>
    <sheetView tabSelected="1" workbookViewId="0">
      <selection activeCell="A35" sqref="A35"/>
    </sheetView>
  </sheetViews>
  <sheetFormatPr baseColWidth="10" defaultRowHeight="15" x14ac:dyDescent="0.25"/>
  <cols>
    <col min="1" max="1" width="141.28515625" customWidth="1"/>
  </cols>
  <sheetData>
    <row r="1" spans="1:1" x14ac:dyDescent="0.25">
      <c r="A1" s="84" t="s">
        <v>123</v>
      </c>
    </row>
    <row r="2" spans="1:1" ht="7.5" customHeight="1" x14ac:dyDescent="0.25"/>
    <row r="3" spans="1:1" x14ac:dyDescent="0.25">
      <c r="A3" t="s">
        <v>131</v>
      </c>
    </row>
    <row r="4" spans="1:1" x14ac:dyDescent="0.25">
      <c r="A4" t="s">
        <v>132</v>
      </c>
    </row>
    <row r="5" spans="1:1" x14ac:dyDescent="0.25">
      <c r="A5" t="s">
        <v>133</v>
      </c>
    </row>
    <row r="6" spans="1:1" x14ac:dyDescent="0.25">
      <c r="A6" t="s">
        <v>134</v>
      </c>
    </row>
    <row r="7" spans="1:1" x14ac:dyDescent="0.25">
      <c r="A7" t="s">
        <v>135</v>
      </c>
    </row>
    <row r="8" spans="1:1" x14ac:dyDescent="0.25">
      <c r="A8" t="s">
        <v>136</v>
      </c>
    </row>
    <row r="9" spans="1:1" x14ac:dyDescent="0.25">
      <c r="A9" t="s">
        <v>137</v>
      </c>
    </row>
    <row r="11" spans="1:1" x14ac:dyDescent="0.25">
      <c r="A11" s="84" t="s">
        <v>124</v>
      </c>
    </row>
    <row r="12" spans="1:1" ht="6" customHeight="1" x14ac:dyDescent="0.25"/>
    <row r="13" spans="1:1" x14ac:dyDescent="0.25">
      <c r="A13" t="s">
        <v>138</v>
      </c>
    </row>
    <row r="14" spans="1:1" x14ac:dyDescent="0.25">
      <c r="A14" t="s">
        <v>141</v>
      </c>
    </row>
    <row r="15" spans="1:1" x14ac:dyDescent="0.25">
      <c r="A15" t="s">
        <v>139</v>
      </c>
    </row>
    <row r="16" spans="1:1" x14ac:dyDescent="0.25">
      <c r="A16" t="s">
        <v>140</v>
      </c>
    </row>
  </sheetData>
  <sheetProtection password="DDE6" sheet="1" objects="1" scenarios="1"/>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dimension ref="A1:S105"/>
  <sheetViews>
    <sheetView zoomScale="84" zoomScaleNormal="84" workbookViewId="0">
      <selection activeCell="C5" sqref="C5"/>
    </sheetView>
  </sheetViews>
  <sheetFormatPr baseColWidth="10" defaultRowHeight="12.75" x14ac:dyDescent="0.2"/>
  <cols>
    <col min="1" max="1" width="10.28515625" style="1" bestFit="1" customWidth="1"/>
    <col min="2" max="2" width="15.7109375" style="1" bestFit="1" customWidth="1"/>
    <col min="3" max="3" width="10.7109375" style="7" customWidth="1"/>
    <col min="4" max="4" width="18.42578125" style="1" customWidth="1"/>
    <col min="5" max="5" width="8.7109375" style="1" customWidth="1"/>
    <col min="6" max="6" width="12.7109375" style="21" customWidth="1"/>
    <col min="7" max="7" width="10.28515625" style="3" customWidth="1"/>
    <col min="8" max="8" width="12.42578125" style="1" customWidth="1"/>
    <col min="9" max="9" width="14.28515625" style="1" customWidth="1"/>
    <col min="10" max="10" width="16.5703125" style="1" customWidth="1"/>
    <col min="11" max="11" width="14.7109375" style="1" customWidth="1"/>
    <col min="12" max="12" width="20.7109375" style="1" customWidth="1"/>
    <col min="13" max="13" width="8.28515625" style="1" customWidth="1"/>
    <col min="14" max="14" width="9.42578125" style="1" customWidth="1"/>
    <col min="15" max="15" width="9" style="1" customWidth="1"/>
    <col min="16" max="16" width="8.7109375" style="1" customWidth="1"/>
    <col min="17" max="17" width="9.5703125" style="1" customWidth="1"/>
    <col min="18" max="16384" width="11.42578125" style="1"/>
  </cols>
  <sheetData>
    <row r="1" spans="1:19" ht="17.25" customHeight="1" x14ac:dyDescent="0.3">
      <c r="A1" s="39" t="s">
        <v>28</v>
      </c>
      <c r="B1" s="22"/>
      <c r="E1" s="22"/>
      <c r="M1" s="1" t="s">
        <v>25</v>
      </c>
    </row>
    <row r="2" spans="1:19" ht="19.5" customHeight="1" x14ac:dyDescent="0.35">
      <c r="B2" s="50" t="s">
        <v>24</v>
      </c>
      <c r="C2" s="49" t="s">
        <v>19</v>
      </c>
      <c r="E2" s="43" t="s">
        <v>18</v>
      </c>
      <c r="M2" s="1" t="s">
        <v>126</v>
      </c>
    </row>
    <row r="3" spans="1:19" ht="15.75" x14ac:dyDescent="0.25">
      <c r="A3" s="23"/>
      <c r="C3" s="49">
        <v>0</v>
      </c>
      <c r="D3" s="42" t="s">
        <v>11</v>
      </c>
      <c r="E3" s="41" t="s">
        <v>15</v>
      </c>
      <c r="M3" s="1" t="s">
        <v>127</v>
      </c>
    </row>
    <row r="4" spans="1:19" ht="15.75" x14ac:dyDescent="0.25">
      <c r="C4" s="49">
        <v>3</v>
      </c>
      <c r="D4" s="42" t="s">
        <v>11</v>
      </c>
      <c r="E4" s="41" t="s">
        <v>16</v>
      </c>
    </row>
    <row r="5" spans="1:19" ht="15.75" x14ac:dyDescent="0.25">
      <c r="C5" s="49">
        <v>0</v>
      </c>
      <c r="D5" s="42" t="s">
        <v>12</v>
      </c>
      <c r="E5" s="41" t="s">
        <v>17</v>
      </c>
    </row>
    <row r="6" spans="1:19" ht="15.75" x14ac:dyDescent="0.25">
      <c r="C6" s="49">
        <v>0</v>
      </c>
      <c r="D6" s="42" t="s">
        <v>12</v>
      </c>
      <c r="E6" s="41" t="s">
        <v>36</v>
      </c>
    </row>
    <row r="7" spans="1:19" s="11" customFormat="1" ht="13.5" thickBot="1" x14ac:dyDescent="0.25">
      <c r="G7" s="12"/>
      <c r="H7" s="13"/>
      <c r="I7" s="13"/>
      <c r="N7" s="72" t="s">
        <v>84</v>
      </c>
    </row>
    <row r="8" spans="1:19" s="11" customFormat="1" x14ac:dyDescent="0.2">
      <c r="A8" s="28" t="s">
        <v>29</v>
      </c>
      <c r="B8" s="8" t="s">
        <v>30</v>
      </c>
      <c r="C8" s="8" t="s">
        <v>0</v>
      </c>
      <c r="D8" s="29" t="s">
        <v>1</v>
      </c>
      <c r="E8" s="30" t="s">
        <v>2</v>
      </c>
      <c r="F8" s="30" t="s">
        <v>4</v>
      </c>
      <c r="G8" s="9" t="s">
        <v>10</v>
      </c>
      <c r="H8" s="10" t="s">
        <v>5</v>
      </c>
      <c r="I8" s="10" t="s">
        <v>6</v>
      </c>
      <c r="J8" s="8" t="s">
        <v>7</v>
      </c>
      <c r="K8" s="31" t="s">
        <v>31</v>
      </c>
      <c r="L8" s="12" t="s">
        <v>21</v>
      </c>
      <c r="M8" s="11" t="s">
        <v>32</v>
      </c>
      <c r="N8" s="11" t="s">
        <v>22</v>
      </c>
      <c r="O8" s="11" t="s">
        <v>23</v>
      </c>
      <c r="P8" s="94" t="s">
        <v>53</v>
      </c>
      <c r="Q8" s="95"/>
    </row>
    <row r="9" spans="1:19" x14ac:dyDescent="0.2">
      <c r="A9" s="14">
        <v>44440</v>
      </c>
      <c r="B9" s="15">
        <v>7.4</v>
      </c>
      <c r="C9" s="3"/>
      <c r="E9" s="40">
        <f>C3</f>
        <v>0</v>
      </c>
      <c r="F9" s="16"/>
      <c r="G9" s="40">
        <f>C4</f>
        <v>3</v>
      </c>
      <c r="H9" s="21"/>
      <c r="I9" s="40">
        <f>C5</f>
        <v>0</v>
      </c>
      <c r="J9" s="40">
        <f>C6</f>
        <v>0</v>
      </c>
      <c r="K9" s="17" t="s">
        <v>8</v>
      </c>
      <c r="L9" s="11" t="s">
        <v>13</v>
      </c>
      <c r="M9" s="1" t="s">
        <v>20</v>
      </c>
      <c r="N9" s="1" t="s">
        <v>14</v>
      </c>
      <c r="O9" s="1" t="s">
        <v>14</v>
      </c>
      <c r="P9" s="92" t="s">
        <v>52</v>
      </c>
      <c r="Q9" s="93" t="s">
        <v>142</v>
      </c>
      <c r="R9" s="11"/>
    </row>
    <row r="10" spans="1:19" x14ac:dyDescent="0.2">
      <c r="A10" s="14">
        <v>44470</v>
      </c>
      <c r="B10" s="5">
        <f>B9+C10</f>
        <v>7</v>
      </c>
      <c r="C10" s="18">
        <v>-0.40000000000000036</v>
      </c>
      <c r="D10" s="2">
        <v>65</v>
      </c>
      <c r="E10" s="4">
        <f t="shared" ref="E10:E21" si="0">$E$9*D10/1000</f>
        <v>0</v>
      </c>
      <c r="F10" s="19">
        <v>117.50000000000001</v>
      </c>
      <c r="G10" s="4">
        <f>$G$9*F10/1000</f>
        <v>0.35250000000000004</v>
      </c>
      <c r="H10" s="2">
        <v>7.3330235028548678</v>
      </c>
      <c r="I10" s="4">
        <f>-$I$9*H10/100</f>
        <v>0</v>
      </c>
      <c r="J10" s="4">
        <f t="shared" ref="J10:J21" si="1">-$J$9/12</f>
        <v>0</v>
      </c>
      <c r="K10" s="47">
        <f>B9+C10+E10+G10+I10+J10</f>
        <v>7.3525</v>
      </c>
      <c r="L10" s="83">
        <f t="shared" ref="L10:L21" si="2">IF(K10&lt;$Q$10,K10-B10,$Q$10-B10)</f>
        <v>0.35250000000000004</v>
      </c>
      <c r="M10" s="63">
        <f>K10</f>
        <v>7.3525</v>
      </c>
      <c r="N10" s="82">
        <f>IF(M10&lt;$Q$10,0,IF(K10&gt;=M10,M9+K10-K9-$Q$10,0))</f>
        <v>0</v>
      </c>
      <c r="O10" s="62">
        <f>IF(M10&gt;$P$10,0,IF(K10&lt;M10,$P$10+K9-K10-M9,0))</f>
        <v>0</v>
      </c>
      <c r="P10" s="89">
        <v>0.5</v>
      </c>
      <c r="Q10" s="90">
        <f>8.8</f>
        <v>8.8000000000000007</v>
      </c>
      <c r="R10" s="7"/>
    </row>
    <row r="11" spans="1:19" x14ac:dyDescent="0.2">
      <c r="A11" s="14">
        <v>44501</v>
      </c>
      <c r="B11" s="5">
        <f t="shared" ref="B11:B21" si="3">B10+C11</f>
        <v>5.6</v>
      </c>
      <c r="C11" s="18">
        <v>-1.4000000000000004</v>
      </c>
      <c r="D11" s="2">
        <v>32.5</v>
      </c>
      <c r="E11" s="4">
        <f t="shared" si="0"/>
        <v>0</v>
      </c>
      <c r="F11" s="19">
        <v>105.00000000000001</v>
      </c>
      <c r="G11" s="4">
        <f t="shared" ref="G11:G21" si="4">$G$9*F11/1000</f>
        <v>0.31500000000000006</v>
      </c>
      <c r="H11" s="2">
        <v>12.478422520249637</v>
      </c>
      <c r="I11" s="4">
        <f t="shared" ref="I11:I21" si="5">-$I$9*H11/100</f>
        <v>0</v>
      </c>
      <c r="J11" s="4">
        <f t="shared" si="1"/>
        <v>0</v>
      </c>
      <c r="K11" s="47">
        <f>C11+E11+G11+I11+J11+K10</f>
        <v>6.2675000000000001</v>
      </c>
      <c r="L11" s="83">
        <f t="shared" si="2"/>
        <v>0.66750000000000043</v>
      </c>
      <c r="M11" s="85">
        <f>IF((M10+K11-K10)&gt;=$Q$10,$Q$10,IF((M10+K11-K10)&lt;=$P$10,$P$10,M10+K11-K10))</f>
        <v>6.267500000000001</v>
      </c>
      <c r="N11" s="82">
        <f>IF(M11&lt;$Q$10,0,IF(K11&gt;=M11,M10+K11-K10-$Q$10,0))</f>
        <v>0</v>
      </c>
      <c r="O11" s="62">
        <f>IF(M11&gt;$P$10,0,IF(K11&lt;M11,$P$10+K10-K11-M10,0))</f>
        <v>0</v>
      </c>
      <c r="P11" s="52"/>
      <c r="Q11" s="91">
        <f t="shared" ref="Q11:Q21" si="6">8.8</f>
        <v>8.8000000000000007</v>
      </c>
      <c r="R11" s="7"/>
      <c r="S11" s="48"/>
    </row>
    <row r="12" spans="1:19" x14ac:dyDescent="0.2">
      <c r="A12" s="14">
        <v>44531</v>
      </c>
      <c r="B12" s="5">
        <f t="shared" si="3"/>
        <v>4.7</v>
      </c>
      <c r="C12" s="18">
        <v>-0.89999999999999947</v>
      </c>
      <c r="D12" s="2">
        <v>20</v>
      </c>
      <c r="E12" s="6">
        <f t="shared" si="0"/>
        <v>0</v>
      </c>
      <c r="F12" s="19">
        <v>100</v>
      </c>
      <c r="G12" s="4">
        <f t="shared" si="4"/>
        <v>0.3</v>
      </c>
      <c r="H12" s="2">
        <v>14.991369008099856</v>
      </c>
      <c r="I12" s="4">
        <f t="shared" si="5"/>
        <v>0</v>
      </c>
      <c r="J12" s="4">
        <f t="shared" si="1"/>
        <v>0</v>
      </c>
      <c r="K12" s="47">
        <f t="shared" ref="K12:K21" si="7">C12+E12+G12+I12+J12+K11</f>
        <v>5.6675000000000004</v>
      </c>
      <c r="L12" s="83">
        <f t="shared" si="2"/>
        <v>0.96750000000000025</v>
      </c>
      <c r="M12" s="85">
        <f t="shared" ref="M12:M21" si="8">IF((M11+K12-K11)&gt;=$Q$10,$Q$10,IF((M11+K12-K11)&lt;=$P$10,$P$10,M11+K12-K11))</f>
        <v>5.6675000000000022</v>
      </c>
      <c r="N12" s="82">
        <f t="shared" ref="N12:N16" si="9">IF(M12&lt;$Q$10,0,IF(K12&gt;=M12,M11+K12-K11-$Q$10,0))</f>
        <v>0</v>
      </c>
      <c r="O12" s="62">
        <f t="shared" ref="O12:O21" si="10">IF(M12&gt;$P$10,0,IF(K12&lt;M12,$P$10+K11-K12-M11,0))</f>
        <v>0</v>
      </c>
      <c r="P12" s="52"/>
      <c r="Q12" s="91">
        <f t="shared" si="6"/>
        <v>8.8000000000000007</v>
      </c>
      <c r="R12" s="7"/>
      <c r="S12" s="48"/>
    </row>
    <row r="13" spans="1:19" x14ac:dyDescent="0.2">
      <c r="A13" s="14">
        <v>44562</v>
      </c>
      <c r="B13" s="5">
        <f t="shared" si="3"/>
        <v>3.5</v>
      </c>
      <c r="C13" s="18">
        <v>-1.2000000000000002</v>
      </c>
      <c r="D13" s="2">
        <v>22.5</v>
      </c>
      <c r="E13" s="4">
        <f t="shared" si="0"/>
        <v>0</v>
      </c>
      <c r="F13" s="19">
        <v>125</v>
      </c>
      <c r="G13" s="4">
        <f t="shared" si="4"/>
        <v>0.375</v>
      </c>
      <c r="H13" s="2">
        <v>15.751560217766569</v>
      </c>
      <c r="I13" s="4">
        <f t="shared" si="5"/>
        <v>0</v>
      </c>
      <c r="J13" s="4">
        <f t="shared" si="1"/>
        <v>0</v>
      </c>
      <c r="K13" s="47">
        <f t="shared" si="7"/>
        <v>4.8425000000000002</v>
      </c>
      <c r="L13" s="83">
        <f t="shared" si="2"/>
        <v>1.3425000000000002</v>
      </c>
      <c r="M13" s="85">
        <f t="shared" si="8"/>
        <v>4.8425000000000011</v>
      </c>
      <c r="N13" s="82">
        <f t="shared" si="9"/>
        <v>0</v>
      </c>
      <c r="O13" s="62">
        <f t="shared" si="10"/>
        <v>0</v>
      </c>
      <c r="P13" s="52"/>
      <c r="Q13" s="91">
        <f t="shared" si="6"/>
        <v>8.8000000000000007</v>
      </c>
      <c r="R13" s="7"/>
      <c r="S13" s="48"/>
    </row>
    <row r="14" spans="1:19" x14ac:dyDescent="0.2">
      <c r="A14" s="14">
        <v>44593</v>
      </c>
      <c r="B14" s="5">
        <f t="shared" si="3"/>
        <v>2.8</v>
      </c>
      <c r="C14" s="18">
        <v>-0.70000000000000018</v>
      </c>
      <c r="D14" s="2">
        <v>42.5</v>
      </c>
      <c r="E14" s="4">
        <f t="shared" si="0"/>
        <v>0</v>
      </c>
      <c r="F14" s="19">
        <v>137.5</v>
      </c>
      <c r="G14" s="4">
        <f t="shared" si="4"/>
        <v>0.41249999999999998</v>
      </c>
      <c r="H14" s="2">
        <v>13.06267427964414</v>
      </c>
      <c r="I14" s="4">
        <f t="shared" si="5"/>
        <v>0</v>
      </c>
      <c r="J14" s="4">
        <f t="shared" si="1"/>
        <v>0</v>
      </c>
      <c r="K14" s="47">
        <f t="shared" si="7"/>
        <v>4.5549999999999997</v>
      </c>
      <c r="L14" s="83">
        <f t="shared" si="2"/>
        <v>1.7549999999999999</v>
      </c>
      <c r="M14" s="85">
        <f t="shared" si="8"/>
        <v>4.5550000000000006</v>
      </c>
      <c r="N14" s="82">
        <f t="shared" si="9"/>
        <v>0</v>
      </c>
      <c r="O14" s="62">
        <f t="shared" si="10"/>
        <v>0</v>
      </c>
      <c r="P14" s="52"/>
      <c r="Q14" s="91">
        <f t="shared" si="6"/>
        <v>8.8000000000000007</v>
      </c>
      <c r="R14" s="7"/>
      <c r="S14" s="48"/>
    </row>
    <row r="15" spans="1:19" x14ac:dyDescent="0.2">
      <c r="A15" s="14">
        <v>44621</v>
      </c>
      <c r="B15" s="5">
        <f t="shared" si="3"/>
        <v>2.1</v>
      </c>
      <c r="C15" s="18">
        <v>-0.69999999999999973</v>
      </c>
      <c r="D15" s="2">
        <v>82.5</v>
      </c>
      <c r="E15" s="4">
        <f t="shared" si="0"/>
        <v>0</v>
      </c>
      <c r="F15" s="19">
        <v>150</v>
      </c>
      <c r="G15" s="4">
        <f t="shared" si="4"/>
        <v>0.45</v>
      </c>
      <c r="H15" s="2">
        <v>12.016996414818751</v>
      </c>
      <c r="I15" s="4">
        <f t="shared" si="5"/>
        <v>0</v>
      </c>
      <c r="J15" s="4">
        <f t="shared" si="1"/>
        <v>0</v>
      </c>
      <c r="K15" s="47">
        <f t="shared" si="7"/>
        <v>4.3049999999999997</v>
      </c>
      <c r="L15" s="83">
        <f t="shared" si="2"/>
        <v>2.2049999999999996</v>
      </c>
      <c r="M15" s="85">
        <f t="shared" si="8"/>
        <v>4.3049999999999997</v>
      </c>
      <c r="N15" s="82">
        <f t="shared" si="9"/>
        <v>0</v>
      </c>
      <c r="O15" s="62">
        <f t="shared" si="10"/>
        <v>0</v>
      </c>
      <c r="P15" s="52"/>
      <c r="Q15" s="91">
        <f t="shared" si="6"/>
        <v>8.8000000000000007</v>
      </c>
      <c r="R15" s="7"/>
      <c r="S15" s="48"/>
    </row>
    <row r="16" spans="1:19" x14ac:dyDescent="0.2">
      <c r="A16" s="14">
        <v>44652</v>
      </c>
      <c r="B16" s="5">
        <f t="shared" si="3"/>
        <v>1.8</v>
      </c>
      <c r="C16" s="18">
        <v>-0.30000000000000004</v>
      </c>
      <c r="D16" s="2">
        <v>112.5</v>
      </c>
      <c r="E16" s="4">
        <f t="shared" si="0"/>
        <v>0</v>
      </c>
      <c r="F16" s="19">
        <v>130</v>
      </c>
      <c r="G16" s="4">
        <f t="shared" si="4"/>
        <v>0.39</v>
      </c>
      <c r="H16" s="2">
        <v>8.0102244057894048</v>
      </c>
      <c r="I16" s="4">
        <f t="shared" si="5"/>
        <v>0</v>
      </c>
      <c r="J16" s="4">
        <f t="shared" si="1"/>
        <v>0</v>
      </c>
      <c r="K16" s="47">
        <f t="shared" si="7"/>
        <v>4.3949999999999996</v>
      </c>
      <c r="L16" s="83">
        <f t="shared" si="2"/>
        <v>2.5949999999999998</v>
      </c>
      <c r="M16" s="85">
        <f t="shared" si="8"/>
        <v>4.3949999999999996</v>
      </c>
      <c r="N16" s="82">
        <f t="shared" si="9"/>
        <v>0</v>
      </c>
      <c r="O16" s="62">
        <f t="shared" si="10"/>
        <v>0</v>
      </c>
      <c r="P16" s="52"/>
      <c r="Q16" s="91">
        <f t="shared" si="6"/>
        <v>8.8000000000000007</v>
      </c>
      <c r="R16" s="7"/>
      <c r="S16" s="48"/>
    </row>
    <row r="17" spans="1:19" x14ac:dyDescent="0.2">
      <c r="A17" s="14">
        <v>44682</v>
      </c>
      <c r="B17" s="5">
        <f t="shared" si="3"/>
        <v>3.3</v>
      </c>
      <c r="C17" s="18">
        <v>1.4999999999999998</v>
      </c>
      <c r="D17" s="2">
        <v>130</v>
      </c>
      <c r="E17" s="4">
        <f t="shared" si="0"/>
        <v>0</v>
      </c>
      <c r="F17" s="19">
        <v>110.00000000000001</v>
      </c>
      <c r="G17" s="4">
        <f t="shared" si="4"/>
        <v>0.33000000000000007</v>
      </c>
      <c r="H17" s="2">
        <v>5.6201035719028027</v>
      </c>
      <c r="I17" s="4">
        <f t="shared" si="5"/>
        <v>0</v>
      </c>
      <c r="J17" s="4">
        <f t="shared" si="1"/>
        <v>0</v>
      </c>
      <c r="K17" s="47">
        <f t="shared" si="7"/>
        <v>6.2249999999999996</v>
      </c>
      <c r="L17" s="83">
        <f t="shared" si="2"/>
        <v>2.9249999999999998</v>
      </c>
      <c r="M17" s="85">
        <f t="shared" si="8"/>
        <v>6.2249999999999996</v>
      </c>
      <c r="N17" s="82">
        <f>IF(M17&lt;$Q$10,0,IF(K17&gt;=M17,M16+K17-K16-$Q$10,0))</f>
        <v>0</v>
      </c>
      <c r="O17" s="62">
        <f t="shared" si="10"/>
        <v>0</v>
      </c>
      <c r="P17" s="52"/>
      <c r="Q17" s="91">
        <f t="shared" si="6"/>
        <v>8.8000000000000007</v>
      </c>
      <c r="R17" s="7"/>
      <c r="S17" s="48"/>
    </row>
    <row r="18" spans="1:19" x14ac:dyDescent="0.2">
      <c r="A18" s="14">
        <v>44713</v>
      </c>
      <c r="B18" s="5">
        <f t="shared" si="3"/>
        <v>4.7</v>
      </c>
      <c r="C18" s="18">
        <v>1.4000000000000004</v>
      </c>
      <c r="D18" s="2">
        <v>137.5</v>
      </c>
      <c r="E18" s="4">
        <f t="shared" si="0"/>
        <v>0</v>
      </c>
      <c r="F18" s="19">
        <v>97.5</v>
      </c>
      <c r="G18" s="4">
        <f t="shared" si="4"/>
        <v>0.29249999999999998</v>
      </c>
      <c r="H18" s="2">
        <v>2.3801619970787415</v>
      </c>
      <c r="I18" s="4">
        <f t="shared" si="5"/>
        <v>0</v>
      </c>
      <c r="J18" s="4">
        <f t="shared" si="1"/>
        <v>0</v>
      </c>
      <c r="K18" s="47">
        <f t="shared" si="7"/>
        <v>7.9175000000000004</v>
      </c>
      <c r="L18" s="83">
        <f t="shared" si="2"/>
        <v>3.2175000000000002</v>
      </c>
      <c r="M18" s="85">
        <f t="shared" si="8"/>
        <v>7.9175000000000004</v>
      </c>
      <c r="N18" s="82">
        <f>IF(M18&lt;$Q$10,0,IF(K18&gt;=M18,M17+K18-K17-$Q$10,0))</f>
        <v>0</v>
      </c>
      <c r="O18" s="62">
        <f t="shared" si="10"/>
        <v>0</v>
      </c>
      <c r="P18" s="52"/>
      <c r="Q18" s="91">
        <f t="shared" si="6"/>
        <v>8.8000000000000007</v>
      </c>
      <c r="R18" s="7"/>
      <c r="S18" s="48"/>
    </row>
    <row r="19" spans="1:19" x14ac:dyDescent="0.2">
      <c r="A19" s="14">
        <v>44743</v>
      </c>
      <c r="B19" s="5">
        <f t="shared" si="3"/>
        <v>6</v>
      </c>
      <c r="C19" s="18">
        <v>1.2999999999999998</v>
      </c>
      <c r="D19" s="2">
        <v>140</v>
      </c>
      <c r="E19" s="4">
        <f t="shared" si="0"/>
        <v>0</v>
      </c>
      <c r="F19" s="19">
        <v>105.00000000000001</v>
      </c>
      <c r="G19" s="4">
        <f t="shared" si="4"/>
        <v>0.31500000000000006</v>
      </c>
      <c r="H19" s="2">
        <v>2.3536050989244464</v>
      </c>
      <c r="I19" s="4">
        <f t="shared" si="5"/>
        <v>0</v>
      </c>
      <c r="J19" s="4">
        <f t="shared" si="1"/>
        <v>0</v>
      </c>
      <c r="K19" s="47">
        <f t="shared" si="7"/>
        <v>9.5325000000000006</v>
      </c>
      <c r="L19" s="83">
        <f t="shared" si="2"/>
        <v>2.8000000000000007</v>
      </c>
      <c r="M19" s="85">
        <f t="shared" si="8"/>
        <v>8.8000000000000007</v>
      </c>
      <c r="N19" s="82">
        <f>IF(M19&lt;$Q$10,0,IF(K19&gt;=M19,M18+K19-K18-$Q$10,0))</f>
        <v>0.73250000000000171</v>
      </c>
      <c r="O19" s="62">
        <f t="shared" si="10"/>
        <v>0</v>
      </c>
      <c r="P19" s="52"/>
      <c r="Q19" s="91">
        <f t="shared" si="6"/>
        <v>8.8000000000000007</v>
      </c>
      <c r="R19" s="7"/>
      <c r="S19" s="48"/>
    </row>
    <row r="20" spans="1:19" x14ac:dyDescent="0.2">
      <c r="A20" s="14">
        <v>44774</v>
      </c>
      <c r="B20" s="5">
        <f t="shared" si="3"/>
        <v>7</v>
      </c>
      <c r="C20" s="18">
        <v>1</v>
      </c>
      <c r="D20" s="2">
        <v>117.5</v>
      </c>
      <c r="E20" s="4">
        <f t="shared" si="0"/>
        <v>0</v>
      </c>
      <c r="F20" s="19">
        <v>112.5</v>
      </c>
      <c r="G20" s="4">
        <f t="shared" si="4"/>
        <v>0.33750000000000002</v>
      </c>
      <c r="H20" s="2">
        <v>2.3801619970787415</v>
      </c>
      <c r="I20" s="4">
        <f t="shared" si="5"/>
        <v>0</v>
      </c>
      <c r="J20" s="4">
        <f t="shared" si="1"/>
        <v>0</v>
      </c>
      <c r="K20" s="47">
        <f t="shared" si="7"/>
        <v>10.870000000000001</v>
      </c>
      <c r="L20" s="83">
        <f t="shared" si="2"/>
        <v>1.8000000000000007</v>
      </c>
      <c r="M20" s="85">
        <f t="shared" si="8"/>
        <v>8.8000000000000007</v>
      </c>
      <c r="N20" s="82">
        <f t="shared" ref="N20:N21" si="11">IF(M20&lt;$Q$10,0,IF(K20&gt;=M20,M19+K20-K19-$Q$10,0))</f>
        <v>1.3375000000000004</v>
      </c>
      <c r="O20" s="62">
        <f t="shared" si="10"/>
        <v>0</v>
      </c>
      <c r="P20" s="52"/>
      <c r="Q20" s="91">
        <f t="shared" si="6"/>
        <v>8.8000000000000007</v>
      </c>
      <c r="R20" s="7"/>
      <c r="S20" s="48"/>
    </row>
    <row r="21" spans="1:19" x14ac:dyDescent="0.2">
      <c r="A21" s="14">
        <v>44805</v>
      </c>
      <c r="B21" s="5">
        <f t="shared" si="3"/>
        <v>7.3</v>
      </c>
      <c r="C21" s="18">
        <v>0.29999999999999982</v>
      </c>
      <c r="D21" s="2">
        <v>92.5</v>
      </c>
      <c r="E21" s="4">
        <f t="shared" si="0"/>
        <v>0</v>
      </c>
      <c r="F21" s="19">
        <v>110.00000000000001</v>
      </c>
      <c r="G21" s="4">
        <f t="shared" si="4"/>
        <v>0.33000000000000007</v>
      </c>
      <c r="H21" s="2">
        <v>3.6216969857920605</v>
      </c>
      <c r="I21" s="4">
        <f t="shared" si="5"/>
        <v>0</v>
      </c>
      <c r="J21" s="4">
        <f t="shared" si="1"/>
        <v>0</v>
      </c>
      <c r="K21" s="47">
        <f t="shared" si="7"/>
        <v>11.5</v>
      </c>
      <c r="L21" s="83">
        <f t="shared" si="2"/>
        <v>1.5000000000000009</v>
      </c>
      <c r="M21" s="85">
        <f t="shared" si="8"/>
        <v>8.8000000000000007</v>
      </c>
      <c r="N21" s="82">
        <f t="shared" si="11"/>
        <v>0.62999999999999901</v>
      </c>
      <c r="O21" s="62">
        <f t="shared" si="10"/>
        <v>0</v>
      </c>
      <c r="P21" s="52"/>
      <c r="Q21" s="91">
        <f t="shared" si="6"/>
        <v>8.8000000000000007</v>
      </c>
      <c r="R21" s="7"/>
      <c r="S21" s="48"/>
    </row>
    <row r="22" spans="1:19" ht="13.5" thickBot="1" x14ac:dyDescent="0.25">
      <c r="A22" s="32" t="s">
        <v>3</v>
      </c>
      <c r="B22" s="33"/>
      <c r="C22" s="34"/>
      <c r="D22" s="35">
        <f t="shared" ref="D22:J22" si="12">SUM(D10:D21)</f>
        <v>995</v>
      </c>
      <c r="E22" s="36">
        <f t="shared" si="12"/>
        <v>0</v>
      </c>
      <c r="F22" s="37">
        <f t="shared" si="12"/>
        <v>1400</v>
      </c>
      <c r="G22" s="36">
        <f t="shared" si="12"/>
        <v>4.2</v>
      </c>
      <c r="H22" s="36">
        <f t="shared" si="12"/>
        <v>100.00000000000001</v>
      </c>
      <c r="I22" s="36">
        <f t="shared" si="12"/>
        <v>0</v>
      </c>
      <c r="J22" s="36">
        <f t="shared" si="12"/>
        <v>0</v>
      </c>
      <c r="K22" s="38"/>
      <c r="L22" s="1" t="s">
        <v>33</v>
      </c>
      <c r="N22" s="7">
        <f>SUM(N10:N21)</f>
        <v>2.7000000000000011</v>
      </c>
      <c r="O22" s="7">
        <f>SUM(O10:O21)</f>
        <v>0</v>
      </c>
    </row>
    <row r="23" spans="1:19" s="20" customFormat="1" ht="15.75" x14ac:dyDescent="0.25">
      <c r="B23" s="25"/>
      <c r="C23" s="25"/>
      <c r="D23" s="26"/>
      <c r="E23" s="25"/>
      <c r="F23" s="25"/>
      <c r="G23" s="25"/>
      <c r="H23" s="25"/>
      <c r="I23" s="27"/>
      <c r="J23" s="25"/>
      <c r="K23" s="25"/>
      <c r="L23" s="3" t="s">
        <v>34</v>
      </c>
      <c r="N23" s="86" t="s">
        <v>128</v>
      </c>
      <c r="O23" s="87" t="s">
        <v>129</v>
      </c>
    </row>
    <row r="24" spans="1:19" ht="23.25" x14ac:dyDescent="0.35">
      <c r="A24" s="23" t="s">
        <v>9</v>
      </c>
      <c r="C24" s="1"/>
      <c r="F24" s="1"/>
      <c r="G24" s="1"/>
      <c r="J24" s="51" t="s">
        <v>125</v>
      </c>
    </row>
    <row r="25" spans="1:19" s="23" customFormat="1" ht="15.75" x14ac:dyDescent="0.25">
      <c r="A25" s="24" t="s">
        <v>35</v>
      </c>
    </row>
    <row r="26" spans="1:19" s="24" customFormat="1" ht="15.75" x14ac:dyDescent="0.25"/>
    <row r="27" spans="1:19" customFormat="1" ht="18" x14ac:dyDescent="0.25">
      <c r="A27" s="24" t="s">
        <v>26</v>
      </c>
      <c r="F27" s="44" t="s">
        <v>27</v>
      </c>
    </row>
    <row r="28" spans="1:19" customFormat="1" ht="15" x14ac:dyDescent="0.25">
      <c r="A28" s="1"/>
    </row>
    <row r="29" spans="1:19" customFormat="1" ht="15" x14ac:dyDescent="0.25"/>
    <row r="30" spans="1:19" customFormat="1" ht="15" x14ac:dyDescent="0.25"/>
    <row r="31" spans="1:19" customFormat="1" ht="15" x14ac:dyDescent="0.25"/>
    <row r="32" spans="1:19" customFormat="1" ht="15" x14ac:dyDescent="0.25"/>
    <row r="33" spans="3:7" customFormat="1" ht="15" x14ac:dyDescent="0.25"/>
    <row r="34" spans="3:7" x14ac:dyDescent="0.2">
      <c r="C34" s="1"/>
      <c r="F34" s="1"/>
      <c r="G34" s="1"/>
    </row>
    <row r="35" spans="3:7" x14ac:dyDescent="0.2">
      <c r="C35" s="1"/>
      <c r="F35" s="1"/>
      <c r="G35" s="1"/>
    </row>
    <row r="36" spans="3:7" x14ac:dyDescent="0.2">
      <c r="C36" s="1"/>
      <c r="F36" s="1"/>
      <c r="G36" s="1"/>
    </row>
    <row r="37" spans="3:7" x14ac:dyDescent="0.2">
      <c r="C37" s="1"/>
      <c r="F37" s="1"/>
      <c r="G37" s="1"/>
    </row>
    <row r="38" spans="3:7" x14ac:dyDescent="0.2">
      <c r="C38" s="1"/>
      <c r="F38" s="1"/>
      <c r="G38" s="1"/>
    </row>
    <row r="39" spans="3:7" x14ac:dyDescent="0.2">
      <c r="C39" s="1"/>
      <c r="F39" s="1"/>
      <c r="G39" s="1"/>
    </row>
    <row r="40" spans="3:7" x14ac:dyDescent="0.2">
      <c r="C40" s="1"/>
      <c r="F40" s="1"/>
      <c r="G40" s="1"/>
    </row>
    <row r="41" spans="3:7" x14ac:dyDescent="0.2">
      <c r="C41" s="1"/>
      <c r="F41" s="1"/>
      <c r="G41" s="1"/>
    </row>
    <row r="42" spans="3:7" x14ac:dyDescent="0.2">
      <c r="C42" s="1"/>
      <c r="F42" s="1"/>
      <c r="G42" s="1"/>
    </row>
    <row r="43" spans="3:7" x14ac:dyDescent="0.2">
      <c r="C43" s="1"/>
      <c r="F43" s="1"/>
      <c r="G43" s="1"/>
    </row>
    <row r="44" spans="3:7" x14ac:dyDescent="0.2">
      <c r="C44" s="1"/>
      <c r="F44" s="1"/>
      <c r="G44" s="1"/>
    </row>
    <row r="45" spans="3:7" x14ac:dyDescent="0.2">
      <c r="C45" s="1"/>
      <c r="F45" s="1"/>
      <c r="G45" s="1"/>
    </row>
    <row r="46" spans="3:7" x14ac:dyDescent="0.2">
      <c r="C46" s="1"/>
      <c r="F46" s="1"/>
      <c r="G46" s="1"/>
    </row>
    <row r="47" spans="3:7" x14ac:dyDescent="0.2">
      <c r="C47" s="1"/>
      <c r="F47" s="1"/>
      <c r="G47" s="1"/>
    </row>
    <row r="48" spans="3:7" x14ac:dyDescent="0.2">
      <c r="C48" s="1"/>
      <c r="F48" s="1"/>
      <c r="G48" s="1"/>
    </row>
    <row r="49" spans="3:7" x14ac:dyDescent="0.2">
      <c r="C49" s="1"/>
      <c r="F49" s="1"/>
      <c r="G49" s="1"/>
    </row>
    <row r="50" spans="3:7" x14ac:dyDescent="0.2">
      <c r="C50" s="1"/>
      <c r="F50" s="1"/>
      <c r="G50" s="1"/>
    </row>
    <row r="51" spans="3:7" x14ac:dyDescent="0.2">
      <c r="C51" s="1"/>
      <c r="F51" s="1"/>
      <c r="G51" s="1"/>
    </row>
    <row r="52" spans="3:7" x14ac:dyDescent="0.2">
      <c r="C52" s="1"/>
      <c r="F52" s="1"/>
      <c r="G52" s="1"/>
    </row>
    <row r="53" spans="3:7" x14ac:dyDescent="0.2">
      <c r="C53" s="1"/>
      <c r="F53" s="1"/>
      <c r="G53" s="1"/>
    </row>
    <row r="54" spans="3:7" x14ac:dyDescent="0.2">
      <c r="C54" s="1"/>
      <c r="F54" s="1"/>
      <c r="G54" s="1"/>
    </row>
    <row r="55" spans="3:7" x14ac:dyDescent="0.2">
      <c r="C55" s="1"/>
      <c r="F55" s="1"/>
      <c r="G55" s="1"/>
    </row>
    <row r="56" spans="3:7" x14ac:dyDescent="0.2">
      <c r="C56" s="1"/>
      <c r="F56" s="1"/>
      <c r="G56" s="1"/>
    </row>
    <row r="57" spans="3:7" x14ac:dyDescent="0.2">
      <c r="C57" s="1"/>
      <c r="F57" s="1"/>
      <c r="G57" s="1"/>
    </row>
    <row r="58" spans="3:7" x14ac:dyDescent="0.2">
      <c r="C58" s="1"/>
      <c r="F58" s="1"/>
      <c r="G58" s="1"/>
    </row>
    <row r="59" spans="3:7" x14ac:dyDescent="0.2">
      <c r="C59" s="1"/>
      <c r="F59" s="1"/>
      <c r="G59" s="1"/>
    </row>
    <row r="60" spans="3:7" x14ac:dyDescent="0.2">
      <c r="C60" s="1"/>
      <c r="F60" s="1"/>
      <c r="G60" s="1"/>
    </row>
    <row r="61" spans="3:7" x14ac:dyDescent="0.2">
      <c r="C61" s="1"/>
      <c r="F61" s="1"/>
      <c r="G61" s="1"/>
    </row>
    <row r="62" spans="3:7" x14ac:dyDescent="0.2">
      <c r="C62" s="1"/>
      <c r="F62" s="1"/>
      <c r="G62" s="1"/>
    </row>
    <row r="63" spans="3:7" x14ac:dyDescent="0.2">
      <c r="C63" s="1"/>
      <c r="F63" s="1"/>
      <c r="G63" s="1"/>
    </row>
    <row r="64" spans="3:7" x14ac:dyDescent="0.2">
      <c r="C64" s="1"/>
      <c r="F64" s="1"/>
      <c r="G64" s="1"/>
    </row>
    <row r="65" spans="1:7" x14ac:dyDescent="0.2">
      <c r="C65" s="1"/>
      <c r="F65" s="1"/>
      <c r="G65" s="1"/>
    </row>
    <row r="66" spans="1:7" x14ac:dyDescent="0.2">
      <c r="C66" s="1"/>
      <c r="F66" s="1"/>
      <c r="G66" s="1"/>
    </row>
    <row r="67" spans="1:7" x14ac:dyDescent="0.2">
      <c r="C67" s="1"/>
      <c r="F67" s="1"/>
      <c r="G67" s="1"/>
    </row>
    <row r="68" spans="1:7" x14ac:dyDescent="0.2">
      <c r="C68" s="1"/>
      <c r="F68" s="1"/>
      <c r="G68" s="1"/>
    </row>
    <row r="69" spans="1:7" x14ac:dyDescent="0.2">
      <c r="C69" s="1"/>
      <c r="F69" s="1"/>
      <c r="G69" s="1"/>
    </row>
    <row r="70" spans="1:7" x14ac:dyDescent="0.2">
      <c r="C70" s="1"/>
      <c r="F70" s="1"/>
      <c r="G70" s="1"/>
    </row>
    <row r="71" spans="1:7" x14ac:dyDescent="0.2">
      <c r="C71" s="1"/>
      <c r="F71" s="1"/>
      <c r="G71" s="1"/>
    </row>
    <row r="72" spans="1:7" x14ac:dyDescent="0.2">
      <c r="C72" s="1"/>
      <c r="F72" s="1"/>
      <c r="G72" s="1"/>
    </row>
    <row r="73" spans="1:7" x14ac:dyDescent="0.2">
      <c r="C73" s="1"/>
      <c r="F73" s="1"/>
      <c r="G73" s="1"/>
    </row>
    <row r="74" spans="1:7" x14ac:dyDescent="0.2">
      <c r="C74" s="1"/>
      <c r="F74" s="1"/>
      <c r="G74" s="1"/>
    </row>
    <row r="75" spans="1:7" x14ac:dyDescent="0.2">
      <c r="C75" s="1"/>
      <c r="F75" s="1"/>
      <c r="G75" s="1"/>
    </row>
    <row r="76" spans="1:7" x14ac:dyDescent="0.2">
      <c r="C76" s="1"/>
      <c r="F76" s="1"/>
      <c r="G76" s="1"/>
    </row>
    <row r="77" spans="1:7" x14ac:dyDescent="0.2">
      <c r="C77" s="1"/>
      <c r="F77" s="1"/>
      <c r="G77" s="1"/>
    </row>
    <row r="78" spans="1:7" ht="15.75" x14ac:dyDescent="0.25">
      <c r="A78" s="23"/>
      <c r="C78" s="1"/>
      <c r="F78" s="1"/>
      <c r="G78" s="1"/>
    </row>
    <row r="79" spans="1:7" x14ac:dyDescent="0.2">
      <c r="C79" s="1"/>
      <c r="F79" s="1"/>
      <c r="G79" s="1"/>
    </row>
    <row r="80" spans="1:7" x14ac:dyDescent="0.2">
      <c r="C80" s="1"/>
      <c r="F80" s="1"/>
      <c r="G80" s="1"/>
    </row>
    <row r="81" spans="3:7" x14ac:dyDescent="0.2">
      <c r="C81" s="1"/>
      <c r="F81" s="1"/>
      <c r="G81" s="1"/>
    </row>
    <row r="82" spans="3:7" x14ac:dyDescent="0.2">
      <c r="C82" s="1"/>
      <c r="F82" s="1"/>
      <c r="G82" s="1"/>
    </row>
    <row r="83" spans="3:7" x14ac:dyDescent="0.2">
      <c r="C83" s="1"/>
      <c r="F83" s="1"/>
      <c r="G83" s="1"/>
    </row>
    <row r="84" spans="3:7" x14ac:dyDescent="0.2">
      <c r="C84" s="1"/>
      <c r="F84" s="1"/>
      <c r="G84" s="1"/>
    </row>
    <row r="85" spans="3:7" x14ac:dyDescent="0.2">
      <c r="C85" s="1"/>
      <c r="F85" s="1"/>
      <c r="G85" s="1"/>
    </row>
    <row r="86" spans="3:7" x14ac:dyDescent="0.2">
      <c r="C86" s="1"/>
      <c r="F86" s="1"/>
      <c r="G86" s="1"/>
    </row>
    <row r="87" spans="3:7" x14ac:dyDescent="0.2">
      <c r="C87" s="1"/>
      <c r="F87" s="1"/>
      <c r="G87" s="1"/>
    </row>
    <row r="88" spans="3:7" x14ac:dyDescent="0.2">
      <c r="C88" s="1"/>
      <c r="F88" s="1"/>
      <c r="G88" s="1"/>
    </row>
    <row r="89" spans="3:7" x14ac:dyDescent="0.2">
      <c r="C89" s="1"/>
      <c r="F89" s="1"/>
      <c r="G89" s="1"/>
    </row>
    <row r="90" spans="3:7" x14ac:dyDescent="0.2">
      <c r="C90" s="1"/>
      <c r="F90" s="1"/>
      <c r="G90" s="1"/>
    </row>
    <row r="91" spans="3:7" x14ac:dyDescent="0.2">
      <c r="C91" s="1"/>
      <c r="F91" s="1"/>
      <c r="G91" s="1"/>
    </row>
    <row r="92" spans="3:7" x14ac:dyDescent="0.2">
      <c r="C92" s="1"/>
      <c r="F92" s="1"/>
      <c r="G92" s="1"/>
    </row>
    <row r="93" spans="3:7" x14ac:dyDescent="0.2">
      <c r="C93" s="1"/>
      <c r="F93" s="1"/>
      <c r="G93" s="1"/>
    </row>
    <row r="94" spans="3:7" x14ac:dyDescent="0.2">
      <c r="C94" s="1"/>
      <c r="F94" s="1"/>
      <c r="G94" s="1"/>
    </row>
    <row r="95" spans="3:7" x14ac:dyDescent="0.2">
      <c r="C95" s="1"/>
      <c r="F95" s="1"/>
      <c r="G95" s="1"/>
    </row>
    <row r="96" spans="3:7" x14ac:dyDescent="0.2">
      <c r="C96" s="1"/>
      <c r="F96" s="1"/>
      <c r="G96" s="1"/>
    </row>
    <row r="97" spans="3:7" x14ac:dyDescent="0.2">
      <c r="C97" s="1"/>
      <c r="F97" s="1"/>
      <c r="G97" s="1"/>
    </row>
    <row r="98" spans="3:7" x14ac:dyDescent="0.2">
      <c r="C98" s="1"/>
      <c r="F98" s="1"/>
      <c r="G98" s="1"/>
    </row>
    <row r="99" spans="3:7" x14ac:dyDescent="0.2">
      <c r="C99" s="1"/>
      <c r="F99" s="1"/>
      <c r="G99" s="1"/>
    </row>
    <row r="100" spans="3:7" x14ac:dyDescent="0.2">
      <c r="C100" s="1"/>
      <c r="F100" s="1"/>
      <c r="G100" s="1"/>
    </row>
    <row r="101" spans="3:7" x14ac:dyDescent="0.2">
      <c r="C101" s="1"/>
      <c r="F101" s="1"/>
      <c r="G101" s="1"/>
    </row>
    <row r="102" spans="3:7" x14ac:dyDescent="0.2">
      <c r="C102" s="1"/>
      <c r="F102" s="1"/>
      <c r="G102" s="1"/>
    </row>
    <row r="103" spans="3:7" x14ac:dyDescent="0.2">
      <c r="C103" s="1"/>
      <c r="F103" s="1"/>
      <c r="G103" s="1"/>
    </row>
    <row r="104" spans="3:7" x14ac:dyDescent="0.2">
      <c r="C104" s="1"/>
      <c r="F104" s="1"/>
      <c r="G104" s="1"/>
    </row>
    <row r="105" spans="3:7" x14ac:dyDescent="0.2">
      <c r="C105" s="1"/>
      <c r="F105" s="1"/>
      <c r="G105" s="1"/>
    </row>
  </sheetData>
  <sheetProtection password="DDE6" sheet="1" objects="1" scenarios="1"/>
  <mergeCells count="1">
    <mergeCell ref="P8:Q8"/>
  </mergeCells>
  <pageMargins left="0.70866141732283472" right="0.70866141732283472" top="0.78740157480314965" bottom="0.78740157480314965" header="0.31496062992125984" footer="0.31496062992125984"/>
  <pageSetup paperSize="9" scale="65" orientation="landscape" horizontalDpi="300" verticalDpi="300"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105"/>
  <sheetViews>
    <sheetView zoomScale="85" zoomScaleNormal="85" workbookViewId="0"/>
  </sheetViews>
  <sheetFormatPr baseColWidth="10" defaultRowHeight="12.75" x14ac:dyDescent="0.2"/>
  <cols>
    <col min="1" max="1" width="10.28515625" style="1" bestFit="1" customWidth="1"/>
    <col min="2" max="2" width="15.7109375" style="1" bestFit="1" customWidth="1"/>
    <col min="3" max="3" width="10.7109375" style="7" customWidth="1"/>
    <col min="4" max="4" width="18.42578125" style="1" customWidth="1"/>
    <col min="5" max="5" width="8.7109375" style="1" customWidth="1"/>
    <col min="6" max="6" width="12.7109375" style="21" customWidth="1"/>
    <col min="7" max="7" width="10.28515625" style="3" customWidth="1"/>
    <col min="8" max="8" width="12.42578125" style="1" customWidth="1"/>
    <col min="9" max="9" width="14.28515625" style="1" customWidth="1"/>
    <col min="10" max="10" width="16.5703125" style="1" customWidth="1"/>
    <col min="11" max="11" width="14.7109375" style="1" customWidth="1"/>
    <col min="12" max="12" width="20.7109375" style="1" customWidth="1"/>
    <col min="13" max="13" width="8.28515625" style="1" customWidth="1"/>
    <col min="14" max="14" width="9.42578125" style="1" customWidth="1"/>
    <col min="15" max="15" width="9" style="1" customWidth="1"/>
    <col min="16" max="16" width="8.7109375" style="1" customWidth="1"/>
    <col min="17" max="17" width="9.5703125" style="1" customWidth="1"/>
    <col min="18" max="16384" width="11.42578125" style="1"/>
  </cols>
  <sheetData>
    <row r="1" spans="1:19" ht="17.25" customHeight="1" x14ac:dyDescent="0.3">
      <c r="A1" s="39" t="s">
        <v>28</v>
      </c>
      <c r="B1" s="22"/>
      <c r="E1" s="22"/>
      <c r="M1" s="1" t="s">
        <v>25</v>
      </c>
    </row>
    <row r="2" spans="1:19" ht="19.5" customHeight="1" x14ac:dyDescent="0.35">
      <c r="B2" s="50" t="s">
        <v>24</v>
      </c>
      <c r="C2" s="49" t="s">
        <v>19</v>
      </c>
      <c r="E2" s="43" t="s">
        <v>18</v>
      </c>
      <c r="M2" s="1" t="s">
        <v>126</v>
      </c>
    </row>
    <row r="3" spans="1:19" ht="15.75" x14ac:dyDescent="0.25">
      <c r="A3" s="23"/>
      <c r="C3" s="49">
        <v>0</v>
      </c>
      <c r="D3" s="42" t="s">
        <v>11</v>
      </c>
      <c r="E3" s="41" t="s">
        <v>15</v>
      </c>
      <c r="M3" s="1" t="s">
        <v>127</v>
      </c>
    </row>
    <row r="4" spans="1:19" ht="15.75" x14ac:dyDescent="0.25">
      <c r="C4" s="49">
        <v>0</v>
      </c>
      <c r="D4" s="42" t="s">
        <v>11</v>
      </c>
      <c r="E4" s="41" t="s">
        <v>16</v>
      </c>
    </row>
    <row r="5" spans="1:19" ht="15.75" x14ac:dyDescent="0.25">
      <c r="C5" s="49">
        <v>0</v>
      </c>
      <c r="D5" s="42" t="s">
        <v>12</v>
      </c>
      <c r="E5" s="41" t="s">
        <v>17</v>
      </c>
    </row>
    <row r="6" spans="1:19" ht="15.75" x14ac:dyDescent="0.25">
      <c r="C6" s="49">
        <v>8</v>
      </c>
      <c r="D6" s="42" t="s">
        <v>12</v>
      </c>
      <c r="E6" s="41" t="s">
        <v>36</v>
      </c>
    </row>
    <row r="7" spans="1:19" s="11" customFormat="1" ht="13.5" thickBot="1" x14ac:dyDescent="0.25">
      <c r="G7" s="12"/>
      <c r="H7" s="13"/>
      <c r="I7" s="13"/>
      <c r="N7" s="72" t="s">
        <v>84</v>
      </c>
    </row>
    <row r="8" spans="1:19" s="11" customFormat="1" x14ac:dyDescent="0.2">
      <c r="A8" s="28" t="s">
        <v>29</v>
      </c>
      <c r="B8" s="8" t="s">
        <v>30</v>
      </c>
      <c r="C8" s="8" t="s">
        <v>0</v>
      </c>
      <c r="D8" s="29" t="s">
        <v>1</v>
      </c>
      <c r="E8" s="30" t="s">
        <v>2</v>
      </c>
      <c r="F8" s="30" t="s">
        <v>4</v>
      </c>
      <c r="G8" s="9" t="s">
        <v>10</v>
      </c>
      <c r="H8" s="10" t="s">
        <v>5</v>
      </c>
      <c r="I8" s="10" t="s">
        <v>6</v>
      </c>
      <c r="J8" s="8" t="s">
        <v>7</v>
      </c>
      <c r="K8" s="31" t="s">
        <v>31</v>
      </c>
      <c r="L8" s="12" t="s">
        <v>21</v>
      </c>
      <c r="M8" s="11" t="s">
        <v>32</v>
      </c>
      <c r="N8" s="11" t="s">
        <v>22</v>
      </c>
      <c r="O8" s="11" t="s">
        <v>23</v>
      </c>
      <c r="P8" s="94" t="s">
        <v>53</v>
      </c>
      <c r="Q8" s="95"/>
    </row>
    <row r="9" spans="1:19" x14ac:dyDescent="0.2">
      <c r="A9" s="14">
        <v>44440</v>
      </c>
      <c r="B9" s="15">
        <v>7.4</v>
      </c>
      <c r="C9" s="3"/>
      <c r="E9" s="40">
        <f>C3</f>
        <v>0</v>
      </c>
      <c r="F9" s="16"/>
      <c r="G9" s="40">
        <f>C4</f>
        <v>0</v>
      </c>
      <c r="H9" s="21"/>
      <c r="I9" s="40">
        <f>C5</f>
        <v>0</v>
      </c>
      <c r="J9" s="40">
        <f>C6</f>
        <v>8</v>
      </c>
      <c r="K9" s="17" t="s">
        <v>8</v>
      </c>
      <c r="L9" s="11" t="s">
        <v>13</v>
      </c>
      <c r="M9" s="1" t="s">
        <v>20</v>
      </c>
      <c r="N9" s="1" t="s">
        <v>14</v>
      </c>
      <c r="O9" s="1" t="s">
        <v>14</v>
      </c>
      <c r="P9" s="45" t="s">
        <v>52</v>
      </c>
      <c r="Q9" s="46" t="s">
        <v>51</v>
      </c>
      <c r="R9" s="11"/>
    </row>
    <row r="10" spans="1:19" x14ac:dyDescent="0.2">
      <c r="A10" s="14">
        <v>44470</v>
      </c>
      <c r="B10" s="5">
        <f>B9+C10</f>
        <v>7</v>
      </c>
      <c r="C10" s="18">
        <v>-0.40000000000000036</v>
      </c>
      <c r="D10" s="2">
        <v>65</v>
      </c>
      <c r="E10" s="4">
        <f t="shared" ref="E10:E21" si="0">$E$9*D10/1000</f>
        <v>0</v>
      </c>
      <c r="F10" s="19">
        <v>117.50000000000001</v>
      </c>
      <c r="G10" s="4">
        <f>$G$9*F10/1000</f>
        <v>0</v>
      </c>
      <c r="H10" s="2">
        <v>7.3330235028548678</v>
      </c>
      <c r="I10" s="4">
        <f>-$I$9*H10/100</f>
        <v>0</v>
      </c>
      <c r="J10" s="4">
        <f t="shared" ref="J10:J21" si="1">-$J$9/12</f>
        <v>-0.66666666666666663</v>
      </c>
      <c r="K10" s="47">
        <f>B9+C10+E10+G10+I10+J10</f>
        <v>6.333333333333333</v>
      </c>
      <c r="L10" s="83">
        <f t="shared" ref="L10:L21" si="2">IF(K10&lt;$Q$10,K10-B10,$Q$10-B10)</f>
        <v>-0.66666666666666696</v>
      </c>
      <c r="M10" s="63">
        <f>K10</f>
        <v>6.333333333333333</v>
      </c>
      <c r="N10" s="82">
        <f>IF(M10&lt;$Q$10,0,IF(K10&gt;=M10,M9+K10-K9-$Q$10,0))</f>
        <v>0</v>
      </c>
      <c r="O10" s="62">
        <f>IF(M10&gt;$P$10,0,IF(K10&lt;M10,$P$10+K9-K10-M9,0))</f>
        <v>0</v>
      </c>
      <c r="P10" s="53">
        <v>0.5</v>
      </c>
      <c r="Q10" s="54">
        <f>8.8</f>
        <v>8.8000000000000007</v>
      </c>
      <c r="R10" s="7"/>
    </row>
    <row r="11" spans="1:19" x14ac:dyDescent="0.2">
      <c r="A11" s="14">
        <v>44501</v>
      </c>
      <c r="B11" s="5">
        <f t="shared" ref="B11:B21" si="3">B10+C11</f>
        <v>5.6</v>
      </c>
      <c r="C11" s="18">
        <v>-1.4000000000000004</v>
      </c>
      <c r="D11" s="2">
        <v>32.5</v>
      </c>
      <c r="E11" s="4">
        <f t="shared" si="0"/>
        <v>0</v>
      </c>
      <c r="F11" s="19">
        <v>105.00000000000001</v>
      </c>
      <c r="G11" s="4">
        <f t="shared" ref="G11:G21" si="4">$G$9*F11/1000</f>
        <v>0</v>
      </c>
      <c r="H11" s="2">
        <v>12.478422520249637</v>
      </c>
      <c r="I11" s="4">
        <f t="shared" ref="I11:I21" si="5">-$I$9*H11/100</f>
        <v>0</v>
      </c>
      <c r="J11" s="4">
        <f t="shared" si="1"/>
        <v>-0.66666666666666663</v>
      </c>
      <c r="K11" s="47">
        <f>C11+E11+G11+I11+J11+K10</f>
        <v>4.2666666666666657</v>
      </c>
      <c r="L11" s="83">
        <f t="shared" si="2"/>
        <v>-1.3333333333333339</v>
      </c>
      <c r="M11" s="85">
        <f>IF((M10+K11-K10)&gt;=$Q$10,$Q$10,IF((M10+K11-K10)&lt;=$P$10,$P$10,M10+K11-K10))</f>
        <v>4.2666666666666648</v>
      </c>
      <c r="N11" s="82">
        <f>IF(M11&lt;$Q$10,0,IF(K11&gt;=M11,M10+K11-K10-$Q$10,0))</f>
        <v>0</v>
      </c>
      <c r="O11" s="62">
        <f>IF(M11&gt;$P$10,0,IF(K11&lt;M11,$P$10+K10-K11-M10,0))</f>
        <v>0</v>
      </c>
      <c r="P11" s="52"/>
      <c r="Q11" s="54">
        <f t="shared" ref="Q11:Q21" si="6">8.8</f>
        <v>8.8000000000000007</v>
      </c>
      <c r="R11" s="7"/>
      <c r="S11" s="48"/>
    </row>
    <row r="12" spans="1:19" x14ac:dyDescent="0.2">
      <c r="A12" s="14">
        <v>44531</v>
      </c>
      <c r="B12" s="5">
        <f t="shared" si="3"/>
        <v>4.7</v>
      </c>
      <c r="C12" s="18">
        <v>-0.89999999999999947</v>
      </c>
      <c r="D12" s="2">
        <v>20</v>
      </c>
      <c r="E12" s="6">
        <f t="shared" si="0"/>
        <v>0</v>
      </c>
      <c r="F12" s="19">
        <v>100</v>
      </c>
      <c r="G12" s="4">
        <f t="shared" si="4"/>
        <v>0</v>
      </c>
      <c r="H12" s="2">
        <v>14.991369008099856</v>
      </c>
      <c r="I12" s="4">
        <f t="shared" si="5"/>
        <v>0</v>
      </c>
      <c r="J12" s="4">
        <f t="shared" si="1"/>
        <v>-0.66666666666666663</v>
      </c>
      <c r="K12" s="47">
        <f t="shared" ref="K12:K21" si="7">C12+E12+G12+I12+J12+K11</f>
        <v>2.6999999999999997</v>
      </c>
      <c r="L12" s="83">
        <f t="shared" si="2"/>
        <v>-2.0000000000000004</v>
      </c>
      <c r="M12" s="85">
        <f t="shared" ref="M12:M21" si="8">IF((M11+K12-K11)&gt;=$Q$10,$Q$10,IF((M11+K12-K11)&lt;=$P$10,$P$10,M11+K12-K11))</f>
        <v>2.6999999999999993</v>
      </c>
      <c r="N12" s="82">
        <f t="shared" ref="N12:N16" si="9">IF(M12&lt;$Q$10,0,IF(K12&gt;=M12,M11+K12-K11-$Q$10,0))</f>
        <v>0</v>
      </c>
      <c r="O12" s="62">
        <f t="shared" ref="O12:O21" si="10">IF(M12&gt;$P$10,0,IF(K12&lt;M12,$P$10+K11-K12-M11,0))</f>
        <v>0</v>
      </c>
      <c r="P12" s="52"/>
      <c r="Q12" s="54">
        <f t="shared" si="6"/>
        <v>8.8000000000000007</v>
      </c>
      <c r="R12" s="7"/>
      <c r="S12" s="48"/>
    </row>
    <row r="13" spans="1:19" x14ac:dyDescent="0.2">
      <c r="A13" s="14">
        <v>44562</v>
      </c>
      <c r="B13" s="5">
        <f t="shared" si="3"/>
        <v>3.5</v>
      </c>
      <c r="C13" s="18">
        <v>-1.2000000000000002</v>
      </c>
      <c r="D13" s="2">
        <v>22.5</v>
      </c>
      <c r="E13" s="4">
        <f t="shared" si="0"/>
        <v>0</v>
      </c>
      <c r="F13" s="19">
        <v>125</v>
      </c>
      <c r="G13" s="4">
        <f t="shared" si="4"/>
        <v>0</v>
      </c>
      <c r="H13" s="2">
        <v>15.751560217766569</v>
      </c>
      <c r="I13" s="4">
        <f t="shared" si="5"/>
        <v>0</v>
      </c>
      <c r="J13" s="4">
        <f t="shared" si="1"/>
        <v>-0.66666666666666663</v>
      </c>
      <c r="K13" s="47">
        <f t="shared" si="7"/>
        <v>0.83333333333333304</v>
      </c>
      <c r="L13" s="83">
        <f t="shared" si="2"/>
        <v>-2.666666666666667</v>
      </c>
      <c r="M13" s="85">
        <f t="shared" si="8"/>
        <v>0.83333333333333259</v>
      </c>
      <c r="N13" s="82">
        <f t="shared" si="9"/>
        <v>0</v>
      </c>
      <c r="O13" s="62">
        <f t="shared" si="10"/>
        <v>0</v>
      </c>
      <c r="P13" s="52"/>
      <c r="Q13" s="54">
        <f t="shared" si="6"/>
        <v>8.8000000000000007</v>
      </c>
      <c r="R13" s="7"/>
      <c r="S13" s="48"/>
    </row>
    <row r="14" spans="1:19" x14ac:dyDescent="0.2">
      <c r="A14" s="14">
        <v>44593</v>
      </c>
      <c r="B14" s="5">
        <f t="shared" si="3"/>
        <v>2.8</v>
      </c>
      <c r="C14" s="18">
        <v>-0.70000000000000018</v>
      </c>
      <c r="D14" s="2">
        <v>42.5</v>
      </c>
      <c r="E14" s="4">
        <f t="shared" si="0"/>
        <v>0</v>
      </c>
      <c r="F14" s="19">
        <v>137.5</v>
      </c>
      <c r="G14" s="4">
        <f t="shared" si="4"/>
        <v>0</v>
      </c>
      <c r="H14" s="2">
        <v>13.06267427964414</v>
      </c>
      <c r="I14" s="4">
        <f t="shared" si="5"/>
        <v>0</v>
      </c>
      <c r="J14" s="4">
        <f t="shared" si="1"/>
        <v>-0.66666666666666663</v>
      </c>
      <c r="K14" s="47">
        <f t="shared" si="7"/>
        <v>-0.53333333333333366</v>
      </c>
      <c r="L14" s="83">
        <f t="shared" si="2"/>
        <v>-3.3333333333333335</v>
      </c>
      <c r="M14" s="85">
        <f t="shared" si="8"/>
        <v>0.5</v>
      </c>
      <c r="N14" s="82">
        <f t="shared" si="9"/>
        <v>0</v>
      </c>
      <c r="O14" s="62">
        <f t="shared" si="10"/>
        <v>1.0333333333333341</v>
      </c>
      <c r="P14" s="52"/>
      <c r="Q14" s="54">
        <f t="shared" si="6"/>
        <v>8.8000000000000007</v>
      </c>
      <c r="R14" s="7"/>
      <c r="S14" s="48"/>
    </row>
    <row r="15" spans="1:19" x14ac:dyDescent="0.2">
      <c r="A15" s="14">
        <v>44621</v>
      </c>
      <c r="B15" s="5">
        <f t="shared" si="3"/>
        <v>2.1</v>
      </c>
      <c r="C15" s="18">
        <v>-0.69999999999999973</v>
      </c>
      <c r="D15" s="2">
        <v>82.5</v>
      </c>
      <c r="E15" s="4">
        <f t="shared" si="0"/>
        <v>0</v>
      </c>
      <c r="F15" s="19">
        <v>150</v>
      </c>
      <c r="G15" s="4">
        <f t="shared" si="4"/>
        <v>0</v>
      </c>
      <c r="H15" s="2">
        <v>12.016996414818751</v>
      </c>
      <c r="I15" s="4">
        <f t="shared" si="5"/>
        <v>0</v>
      </c>
      <c r="J15" s="4">
        <f t="shared" si="1"/>
        <v>-0.66666666666666663</v>
      </c>
      <c r="K15" s="47">
        <f t="shared" si="7"/>
        <v>-1.9</v>
      </c>
      <c r="L15" s="83">
        <f t="shared" si="2"/>
        <v>-4</v>
      </c>
      <c r="M15" s="85">
        <f t="shared" si="8"/>
        <v>0.5</v>
      </c>
      <c r="N15" s="82">
        <f t="shared" si="9"/>
        <v>0</v>
      </c>
      <c r="O15" s="62">
        <f t="shared" si="10"/>
        <v>1.3666666666666663</v>
      </c>
      <c r="P15" s="52"/>
      <c r="Q15" s="54">
        <f t="shared" si="6"/>
        <v>8.8000000000000007</v>
      </c>
      <c r="R15" s="7"/>
      <c r="S15" s="48"/>
    </row>
    <row r="16" spans="1:19" x14ac:dyDescent="0.2">
      <c r="A16" s="14">
        <v>44652</v>
      </c>
      <c r="B16" s="5">
        <f t="shared" si="3"/>
        <v>1.8</v>
      </c>
      <c r="C16" s="18">
        <v>-0.30000000000000004</v>
      </c>
      <c r="D16" s="2">
        <v>112.5</v>
      </c>
      <c r="E16" s="4">
        <f t="shared" si="0"/>
        <v>0</v>
      </c>
      <c r="F16" s="19">
        <v>130</v>
      </c>
      <c r="G16" s="4">
        <f t="shared" si="4"/>
        <v>0</v>
      </c>
      <c r="H16" s="2">
        <v>8.0102244057894048</v>
      </c>
      <c r="I16" s="4">
        <f t="shared" si="5"/>
        <v>0</v>
      </c>
      <c r="J16" s="4">
        <f t="shared" si="1"/>
        <v>-0.66666666666666663</v>
      </c>
      <c r="K16" s="47">
        <f t="shared" si="7"/>
        <v>-2.8666666666666667</v>
      </c>
      <c r="L16" s="83">
        <f t="shared" si="2"/>
        <v>-4.666666666666667</v>
      </c>
      <c r="M16" s="85">
        <f t="shared" si="8"/>
        <v>0.5</v>
      </c>
      <c r="N16" s="82">
        <f t="shared" si="9"/>
        <v>0</v>
      </c>
      <c r="O16" s="62">
        <f t="shared" si="10"/>
        <v>0.96666666666666679</v>
      </c>
      <c r="P16" s="52"/>
      <c r="Q16" s="54">
        <f t="shared" si="6"/>
        <v>8.8000000000000007</v>
      </c>
      <c r="R16" s="7"/>
      <c r="S16" s="48"/>
    </row>
    <row r="17" spans="1:19" x14ac:dyDescent="0.2">
      <c r="A17" s="14">
        <v>44682</v>
      </c>
      <c r="B17" s="5">
        <f t="shared" si="3"/>
        <v>3.3</v>
      </c>
      <c r="C17" s="18">
        <v>1.4999999999999998</v>
      </c>
      <c r="D17" s="2">
        <v>130</v>
      </c>
      <c r="E17" s="4">
        <f t="shared" si="0"/>
        <v>0</v>
      </c>
      <c r="F17" s="19">
        <v>110.00000000000001</v>
      </c>
      <c r="G17" s="4">
        <f t="shared" si="4"/>
        <v>0</v>
      </c>
      <c r="H17" s="2">
        <v>5.6201035719028027</v>
      </c>
      <c r="I17" s="4">
        <f t="shared" si="5"/>
        <v>0</v>
      </c>
      <c r="J17" s="4">
        <f t="shared" si="1"/>
        <v>-0.66666666666666663</v>
      </c>
      <c r="K17" s="47">
        <f t="shared" si="7"/>
        <v>-2.0333333333333337</v>
      </c>
      <c r="L17" s="83">
        <f t="shared" si="2"/>
        <v>-5.3333333333333339</v>
      </c>
      <c r="M17" s="85">
        <f t="shared" si="8"/>
        <v>1.333333333333333</v>
      </c>
      <c r="N17" s="82">
        <f>IF(M17&lt;$Q$10,0,IF(K17&gt;=M17,M16+K17-K16-$Q$10,0))</f>
        <v>0</v>
      </c>
      <c r="O17" s="62">
        <f t="shared" si="10"/>
        <v>0</v>
      </c>
      <c r="P17" s="52"/>
      <c r="Q17" s="54">
        <f t="shared" si="6"/>
        <v>8.8000000000000007</v>
      </c>
      <c r="R17" s="7"/>
      <c r="S17" s="48"/>
    </row>
    <row r="18" spans="1:19" x14ac:dyDescent="0.2">
      <c r="A18" s="14">
        <v>44713</v>
      </c>
      <c r="B18" s="5">
        <f t="shared" si="3"/>
        <v>4.7</v>
      </c>
      <c r="C18" s="18">
        <v>1.4000000000000004</v>
      </c>
      <c r="D18" s="2">
        <v>137.5</v>
      </c>
      <c r="E18" s="4">
        <f t="shared" si="0"/>
        <v>0</v>
      </c>
      <c r="F18" s="19">
        <v>97.5</v>
      </c>
      <c r="G18" s="4">
        <f t="shared" si="4"/>
        <v>0</v>
      </c>
      <c r="H18" s="2">
        <v>2.3801619970787415</v>
      </c>
      <c r="I18" s="4">
        <f t="shared" si="5"/>
        <v>0</v>
      </c>
      <c r="J18" s="4">
        <f t="shared" si="1"/>
        <v>-0.66666666666666663</v>
      </c>
      <c r="K18" s="47">
        <f t="shared" si="7"/>
        <v>-1.2999999999999998</v>
      </c>
      <c r="L18" s="83">
        <f t="shared" si="2"/>
        <v>-6</v>
      </c>
      <c r="M18" s="85">
        <f t="shared" si="8"/>
        <v>2.0666666666666669</v>
      </c>
      <c r="N18" s="82">
        <f>IF(M18&lt;$Q$10,0,IF(K18&gt;=M18,M17+K18-K17-$Q$10,0))</f>
        <v>0</v>
      </c>
      <c r="O18" s="62">
        <f t="shared" si="10"/>
        <v>0</v>
      </c>
      <c r="P18" s="52"/>
      <c r="Q18" s="54">
        <f t="shared" si="6"/>
        <v>8.8000000000000007</v>
      </c>
      <c r="R18" s="7"/>
      <c r="S18" s="48"/>
    </row>
    <row r="19" spans="1:19" x14ac:dyDescent="0.2">
      <c r="A19" s="14">
        <v>44743</v>
      </c>
      <c r="B19" s="5">
        <f t="shared" si="3"/>
        <v>6</v>
      </c>
      <c r="C19" s="18">
        <v>1.2999999999999998</v>
      </c>
      <c r="D19" s="2">
        <v>140</v>
      </c>
      <c r="E19" s="4">
        <f t="shared" si="0"/>
        <v>0</v>
      </c>
      <c r="F19" s="19">
        <v>105.00000000000001</v>
      </c>
      <c r="G19" s="4">
        <f t="shared" si="4"/>
        <v>0</v>
      </c>
      <c r="H19" s="2">
        <v>2.3536050989244464</v>
      </c>
      <c r="I19" s="4">
        <f t="shared" si="5"/>
        <v>0</v>
      </c>
      <c r="J19" s="4">
        <f t="shared" si="1"/>
        <v>-0.66666666666666663</v>
      </c>
      <c r="K19" s="47">
        <f t="shared" si="7"/>
        <v>-0.66666666666666663</v>
      </c>
      <c r="L19" s="83">
        <f t="shared" si="2"/>
        <v>-6.666666666666667</v>
      </c>
      <c r="M19" s="85">
        <f t="shared" si="8"/>
        <v>2.7</v>
      </c>
      <c r="N19" s="82">
        <f>IF(M19&lt;$Q$10,0,IF(K19&gt;=M19,M18+K19-K18-$Q$10,0))</f>
        <v>0</v>
      </c>
      <c r="O19" s="62">
        <f t="shared" si="10"/>
        <v>0</v>
      </c>
      <c r="P19" s="52"/>
      <c r="Q19" s="54">
        <f t="shared" si="6"/>
        <v>8.8000000000000007</v>
      </c>
      <c r="R19" s="7"/>
      <c r="S19" s="48"/>
    </row>
    <row r="20" spans="1:19" x14ac:dyDescent="0.2">
      <c r="A20" s="14">
        <v>44774</v>
      </c>
      <c r="B20" s="5">
        <f t="shared" si="3"/>
        <v>7</v>
      </c>
      <c r="C20" s="18">
        <v>1</v>
      </c>
      <c r="D20" s="2">
        <v>117.5</v>
      </c>
      <c r="E20" s="4">
        <f t="shared" si="0"/>
        <v>0</v>
      </c>
      <c r="F20" s="19">
        <v>112.5</v>
      </c>
      <c r="G20" s="4">
        <f t="shared" si="4"/>
        <v>0</v>
      </c>
      <c r="H20" s="2">
        <v>2.3801619970787415</v>
      </c>
      <c r="I20" s="4">
        <f t="shared" si="5"/>
        <v>0</v>
      </c>
      <c r="J20" s="4">
        <f t="shared" si="1"/>
        <v>-0.66666666666666663</v>
      </c>
      <c r="K20" s="47">
        <f t="shared" si="7"/>
        <v>-0.33333333333333326</v>
      </c>
      <c r="L20" s="83">
        <f t="shared" si="2"/>
        <v>-7.333333333333333</v>
      </c>
      <c r="M20" s="85">
        <f t="shared" si="8"/>
        <v>3.0333333333333337</v>
      </c>
      <c r="N20" s="82">
        <f t="shared" ref="N20:N21" si="11">IF(M20&lt;$Q$10,0,IF(K20&gt;=M20,M19+K20-K19-$Q$10,0))</f>
        <v>0</v>
      </c>
      <c r="O20" s="62">
        <f t="shared" si="10"/>
        <v>0</v>
      </c>
      <c r="P20" s="52"/>
      <c r="Q20" s="54">
        <f t="shared" si="6"/>
        <v>8.8000000000000007</v>
      </c>
      <c r="R20" s="7"/>
      <c r="S20" s="48"/>
    </row>
    <row r="21" spans="1:19" x14ac:dyDescent="0.2">
      <c r="A21" s="14">
        <v>44805</v>
      </c>
      <c r="B21" s="5">
        <f t="shared" si="3"/>
        <v>7.3</v>
      </c>
      <c r="C21" s="18">
        <v>0.29999999999999982</v>
      </c>
      <c r="D21" s="2">
        <v>92.5</v>
      </c>
      <c r="E21" s="4">
        <f t="shared" si="0"/>
        <v>0</v>
      </c>
      <c r="F21" s="19">
        <v>110.00000000000001</v>
      </c>
      <c r="G21" s="4">
        <f t="shared" si="4"/>
        <v>0</v>
      </c>
      <c r="H21" s="2">
        <v>3.6216969857920605</v>
      </c>
      <c r="I21" s="4">
        <f t="shared" si="5"/>
        <v>0</v>
      </c>
      <c r="J21" s="4">
        <f t="shared" si="1"/>
        <v>-0.66666666666666663</v>
      </c>
      <c r="K21" s="47">
        <f t="shared" si="7"/>
        <v>-0.70000000000000007</v>
      </c>
      <c r="L21" s="83">
        <f t="shared" si="2"/>
        <v>-8</v>
      </c>
      <c r="M21" s="85">
        <f t="shared" si="8"/>
        <v>2.666666666666667</v>
      </c>
      <c r="N21" s="82">
        <f t="shared" si="11"/>
        <v>0</v>
      </c>
      <c r="O21" s="62">
        <f t="shared" si="10"/>
        <v>0</v>
      </c>
      <c r="P21" s="52"/>
      <c r="Q21" s="54">
        <f t="shared" si="6"/>
        <v>8.8000000000000007</v>
      </c>
      <c r="R21" s="7"/>
      <c r="S21" s="48"/>
    </row>
    <row r="22" spans="1:19" ht="13.5" thickBot="1" x14ac:dyDescent="0.25">
      <c r="A22" s="32" t="s">
        <v>3</v>
      </c>
      <c r="B22" s="33"/>
      <c r="C22" s="34"/>
      <c r="D22" s="35">
        <f t="shared" ref="D22:J22" si="12">SUM(D10:D21)</f>
        <v>995</v>
      </c>
      <c r="E22" s="36">
        <f t="shared" si="12"/>
        <v>0</v>
      </c>
      <c r="F22" s="37">
        <f t="shared" si="12"/>
        <v>1400</v>
      </c>
      <c r="G22" s="36">
        <f t="shared" si="12"/>
        <v>0</v>
      </c>
      <c r="H22" s="36">
        <f t="shared" si="12"/>
        <v>100.00000000000001</v>
      </c>
      <c r="I22" s="36">
        <f t="shared" si="12"/>
        <v>0</v>
      </c>
      <c r="J22" s="36">
        <f t="shared" si="12"/>
        <v>-8</v>
      </c>
      <c r="K22" s="38"/>
      <c r="L22" s="1" t="s">
        <v>33</v>
      </c>
      <c r="N22" s="7">
        <f>SUM(N10:N21)</f>
        <v>0</v>
      </c>
      <c r="O22" s="7">
        <f>SUM(O10:O21)</f>
        <v>3.3666666666666671</v>
      </c>
    </row>
    <row r="23" spans="1:19" s="20" customFormat="1" ht="15.75" x14ac:dyDescent="0.25">
      <c r="B23" s="25"/>
      <c r="C23" s="25"/>
      <c r="D23" s="26"/>
      <c r="E23" s="25"/>
      <c r="F23" s="25"/>
      <c r="G23" s="25"/>
      <c r="H23" s="25"/>
      <c r="I23" s="27"/>
      <c r="J23" s="25"/>
      <c r="K23" s="25"/>
      <c r="L23" s="3" t="s">
        <v>34</v>
      </c>
      <c r="N23" s="86" t="s">
        <v>128</v>
      </c>
      <c r="O23" s="87" t="s">
        <v>129</v>
      </c>
    </row>
    <row r="24" spans="1:19" ht="23.25" x14ac:dyDescent="0.35">
      <c r="A24" s="23" t="s">
        <v>9</v>
      </c>
      <c r="C24" s="1"/>
      <c r="F24" s="1"/>
      <c r="G24" s="1"/>
      <c r="J24" s="51" t="s">
        <v>125</v>
      </c>
    </row>
    <row r="25" spans="1:19" s="23" customFormat="1" ht="15.75" x14ac:dyDescent="0.25">
      <c r="A25" s="24" t="s">
        <v>35</v>
      </c>
    </row>
    <row r="26" spans="1:19" s="24" customFormat="1" ht="15.75" x14ac:dyDescent="0.25"/>
    <row r="27" spans="1:19" customFormat="1" ht="18" x14ac:dyDescent="0.25">
      <c r="A27" s="24" t="s">
        <v>26</v>
      </c>
      <c r="F27" s="44" t="s">
        <v>27</v>
      </c>
    </row>
    <row r="28" spans="1:19" customFormat="1" ht="15" x14ac:dyDescent="0.25">
      <c r="A28" s="1"/>
    </row>
    <row r="29" spans="1:19" customFormat="1" ht="15" x14ac:dyDescent="0.25"/>
    <row r="30" spans="1:19" customFormat="1" ht="15" x14ac:dyDescent="0.25"/>
    <row r="31" spans="1:19" customFormat="1" ht="15" x14ac:dyDescent="0.25"/>
    <row r="32" spans="1:19" customFormat="1" ht="15" x14ac:dyDescent="0.25"/>
    <row r="33" spans="3:7" customFormat="1" ht="15" x14ac:dyDescent="0.25"/>
    <row r="34" spans="3:7" x14ac:dyDescent="0.2">
      <c r="C34" s="1"/>
      <c r="F34" s="1"/>
      <c r="G34" s="1"/>
    </row>
    <row r="35" spans="3:7" x14ac:dyDescent="0.2">
      <c r="C35" s="1"/>
      <c r="F35" s="1"/>
      <c r="G35" s="1"/>
    </row>
    <row r="36" spans="3:7" x14ac:dyDescent="0.2">
      <c r="C36" s="1"/>
      <c r="F36" s="1"/>
      <c r="G36" s="1"/>
    </row>
    <row r="37" spans="3:7" x14ac:dyDescent="0.2">
      <c r="C37" s="1"/>
      <c r="F37" s="1"/>
      <c r="G37" s="1"/>
    </row>
    <row r="38" spans="3:7" x14ac:dyDescent="0.2">
      <c r="C38" s="1"/>
      <c r="F38" s="1"/>
      <c r="G38" s="1"/>
    </row>
    <row r="39" spans="3:7" x14ac:dyDescent="0.2">
      <c r="C39" s="1"/>
      <c r="F39" s="1"/>
      <c r="G39" s="1"/>
    </row>
    <row r="40" spans="3:7" x14ac:dyDescent="0.2">
      <c r="C40" s="1"/>
      <c r="F40" s="1"/>
      <c r="G40" s="1"/>
    </row>
    <row r="41" spans="3:7" x14ac:dyDescent="0.2">
      <c r="C41" s="1"/>
      <c r="F41" s="1"/>
      <c r="G41" s="1"/>
    </row>
    <row r="42" spans="3:7" x14ac:dyDescent="0.2">
      <c r="C42" s="1"/>
      <c r="F42" s="1"/>
      <c r="G42" s="1"/>
    </row>
    <row r="43" spans="3:7" x14ac:dyDescent="0.2">
      <c r="C43" s="1"/>
      <c r="F43" s="1"/>
      <c r="G43" s="1"/>
    </row>
    <row r="44" spans="3:7" x14ac:dyDescent="0.2">
      <c r="C44" s="1"/>
      <c r="F44" s="1"/>
      <c r="G44" s="1"/>
    </row>
    <row r="45" spans="3:7" x14ac:dyDescent="0.2">
      <c r="C45" s="1"/>
      <c r="F45" s="1"/>
      <c r="G45" s="1"/>
    </row>
    <row r="46" spans="3:7" x14ac:dyDescent="0.2">
      <c r="C46" s="1"/>
      <c r="F46" s="1"/>
      <c r="G46" s="1"/>
    </row>
    <row r="47" spans="3:7" x14ac:dyDescent="0.2">
      <c r="C47" s="1"/>
      <c r="F47" s="1"/>
      <c r="G47" s="1"/>
    </row>
    <row r="48" spans="3:7" x14ac:dyDescent="0.2">
      <c r="C48" s="1"/>
      <c r="F48" s="1"/>
      <c r="G48" s="1"/>
    </row>
    <row r="49" spans="3:7" x14ac:dyDescent="0.2">
      <c r="C49" s="1"/>
      <c r="F49" s="1"/>
      <c r="G49" s="1"/>
    </row>
    <row r="50" spans="3:7" x14ac:dyDescent="0.2">
      <c r="C50" s="1"/>
      <c r="F50" s="1"/>
      <c r="G50" s="1"/>
    </row>
    <row r="51" spans="3:7" x14ac:dyDescent="0.2">
      <c r="C51" s="1"/>
      <c r="F51" s="1"/>
      <c r="G51" s="1"/>
    </row>
    <row r="52" spans="3:7" x14ac:dyDescent="0.2">
      <c r="C52" s="1"/>
      <c r="F52" s="1"/>
      <c r="G52" s="1"/>
    </row>
    <row r="53" spans="3:7" x14ac:dyDescent="0.2">
      <c r="C53" s="1"/>
      <c r="F53" s="1"/>
      <c r="G53" s="1"/>
    </row>
    <row r="54" spans="3:7" x14ac:dyDescent="0.2">
      <c r="C54" s="1"/>
      <c r="F54" s="1"/>
      <c r="G54" s="1"/>
    </row>
    <row r="55" spans="3:7" x14ac:dyDescent="0.2">
      <c r="C55" s="1"/>
      <c r="F55" s="1"/>
      <c r="G55" s="1"/>
    </row>
    <row r="56" spans="3:7" x14ac:dyDescent="0.2">
      <c r="C56" s="1"/>
      <c r="F56" s="1"/>
      <c r="G56" s="1"/>
    </row>
    <row r="57" spans="3:7" x14ac:dyDescent="0.2">
      <c r="C57" s="1"/>
      <c r="F57" s="1"/>
      <c r="G57" s="1"/>
    </row>
    <row r="58" spans="3:7" x14ac:dyDescent="0.2">
      <c r="C58" s="1"/>
      <c r="F58" s="1"/>
      <c r="G58" s="1"/>
    </row>
    <row r="59" spans="3:7" x14ac:dyDescent="0.2">
      <c r="C59" s="1"/>
      <c r="F59" s="1"/>
      <c r="G59" s="1"/>
    </row>
    <row r="60" spans="3:7" x14ac:dyDescent="0.2">
      <c r="C60" s="1"/>
      <c r="F60" s="1"/>
      <c r="G60" s="1"/>
    </row>
    <row r="61" spans="3:7" x14ac:dyDescent="0.2">
      <c r="C61" s="1"/>
      <c r="F61" s="1"/>
      <c r="G61" s="1"/>
    </row>
    <row r="62" spans="3:7" x14ac:dyDescent="0.2">
      <c r="C62" s="1"/>
      <c r="F62" s="1"/>
      <c r="G62" s="1"/>
    </row>
    <row r="63" spans="3:7" x14ac:dyDescent="0.2">
      <c r="C63" s="1"/>
      <c r="F63" s="1"/>
      <c r="G63" s="1"/>
    </row>
    <row r="64" spans="3:7" x14ac:dyDescent="0.2">
      <c r="C64" s="1"/>
      <c r="F64" s="1"/>
      <c r="G64" s="1"/>
    </row>
    <row r="65" spans="1:7" x14ac:dyDescent="0.2">
      <c r="C65" s="1"/>
      <c r="F65" s="1"/>
      <c r="G65" s="1"/>
    </row>
    <row r="66" spans="1:7" x14ac:dyDescent="0.2">
      <c r="C66" s="1"/>
      <c r="F66" s="1"/>
      <c r="G66" s="1"/>
    </row>
    <row r="67" spans="1:7" x14ac:dyDescent="0.2">
      <c r="C67" s="1"/>
      <c r="F67" s="1"/>
      <c r="G67" s="1"/>
    </row>
    <row r="68" spans="1:7" x14ac:dyDescent="0.2">
      <c r="C68" s="1"/>
      <c r="F68" s="1"/>
      <c r="G68" s="1"/>
    </row>
    <row r="69" spans="1:7" x14ac:dyDescent="0.2">
      <c r="C69" s="1"/>
      <c r="F69" s="1"/>
      <c r="G69" s="1"/>
    </row>
    <row r="70" spans="1:7" x14ac:dyDescent="0.2">
      <c r="C70" s="1"/>
      <c r="F70" s="1"/>
      <c r="G70" s="1"/>
    </row>
    <row r="71" spans="1:7" x14ac:dyDescent="0.2">
      <c r="C71" s="1"/>
      <c r="F71" s="1"/>
      <c r="G71" s="1"/>
    </row>
    <row r="72" spans="1:7" x14ac:dyDescent="0.2">
      <c r="C72" s="1"/>
      <c r="F72" s="1"/>
      <c r="G72" s="1"/>
    </row>
    <row r="73" spans="1:7" x14ac:dyDescent="0.2">
      <c r="C73" s="1"/>
      <c r="F73" s="1"/>
      <c r="G73" s="1"/>
    </row>
    <row r="74" spans="1:7" x14ac:dyDescent="0.2">
      <c r="C74" s="1"/>
      <c r="F74" s="1"/>
      <c r="G74" s="1"/>
    </row>
    <row r="75" spans="1:7" x14ac:dyDescent="0.2">
      <c r="C75" s="1"/>
      <c r="F75" s="1"/>
      <c r="G75" s="1"/>
    </row>
    <row r="76" spans="1:7" x14ac:dyDescent="0.2">
      <c r="C76" s="1"/>
      <c r="F76" s="1"/>
      <c r="G76" s="1"/>
    </row>
    <row r="77" spans="1:7" x14ac:dyDescent="0.2">
      <c r="C77" s="1"/>
      <c r="F77" s="1"/>
      <c r="G77" s="1"/>
    </row>
    <row r="78" spans="1:7" ht="15.75" x14ac:dyDescent="0.25">
      <c r="A78" s="23"/>
      <c r="C78" s="1"/>
      <c r="F78" s="1"/>
      <c r="G78" s="1"/>
    </row>
    <row r="79" spans="1:7" x14ac:dyDescent="0.2">
      <c r="C79" s="1"/>
      <c r="F79" s="1"/>
      <c r="G79" s="1"/>
    </row>
    <row r="80" spans="1:7" x14ac:dyDescent="0.2">
      <c r="C80" s="1"/>
      <c r="F80" s="1"/>
      <c r="G80" s="1"/>
    </row>
    <row r="81" spans="3:7" x14ac:dyDescent="0.2">
      <c r="C81" s="1"/>
      <c r="F81" s="1"/>
      <c r="G81" s="1"/>
    </row>
    <row r="82" spans="3:7" x14ac:dyDescent="0.2">
      <c r="C82" s="1"/>
      <c r="F82" s="1"/>
      <c r="G82" s="1"/>
    </row>
    <row r="83" spans="3:7" x14ac:dyDescent="0.2">
      <c r="C83" s="1"/>
      <c r="F83" s="1"/>
      <c r="G83" s="1"/>
    </row>
    <row r="84" spans="3:7" x14ac:dyDescent="0.2">
      <c r="C84" s="1"/>
      <c r="F84" s="1"/>
      <c r="G84" s="1"/>
    </row>
    <row r="85" spans="3:7" x14ac:dyDescent="0.2">
      <c r="C85" s="1"/>
      <c r="F85" s="1"/>
      <c r="G85" s="1"/>
    </row>
    <row r="86" spans="3:7" x14ac:dyDescent="0.2">
      <c r="C86" s="1"/>
      <c r="F86" s="1"/>
      <c r="G86" s="1"/>
    </row>
    <row r="87" spans="3:7" x14ac:dyDescent="0.2">
      <c r="C87" s="1"/>
      <c r="F87" s="1"/>
      <c r="G87" s="1"/>
    </row>
    <row r="88" spans="3:7" x14ac:dyDescent="0.2">
      <c r="C88" s="1"/>
      <c r="F88" s="1"/>
      <c r="G88" s="1"/>
    </row>
    <row r="89" spans="3:7" x14ac:dyDescent="0.2">
      <c r="C89" s="1"/>
      <c r="F89" s="1"/>
      <c r="G89" s="1"/>
    </row>
    <row r="90" spans="3:7" x14ac:dyDescent="0.2">
      <c r="C90" s="1"/>
      <c r="F90" s="1"/>
      <c r="G90" s="1"/>
    </row>
    <row r="91" spans="3:7" x14ac:dyDescent="0.2">
      <c r="C91" s="1"/>
      <c r="F91" s="1"/>
      <c r="G91" s="1"/>
    </row>
    <row r="92" spans="3:7" x14ac:dyDescent="0.2">
      <c r="C92" s="1"/>
      <c r="F92" s="1"/>
      <c r="G92" s="1"/>
    </row>
    <row r="93" spans="3:7" x14ac:dyDescent="0.2">
      <c r="C93" s="1"/>
      <c r="F93" s="1"/>
      <c r="G93" s="1"/>
    </row>
    <row r="94" spans="3:7" x14ac:dyDescent="0.2">
      <c r="C94" s="1"/>
      <c r="F94" s="1"/>
      <c r="G94" s="1"/>
    </row>
    <row r="95" spans="3:7" x14ac:dyDescent="0.2">
      <c r="C95" s="1"/>
      <c r="F95" s="1"/>
      <c r="G95" s="1"/>
    </row>
    <row r="96" spans="3:7" x14ac:dyDescent="0.2">
      <c r="C96" s="1"/>
      <c r="F96" s="1"/>
      <c r="G96" s="1"/>
    </row>
    <row r="97" spans="3:7" x14ac:dyDescent="0.2">
      <c r="C97" s="1"/>
      <c r="F97" s="1"/>
      <c r="G97" s="1"/>
    </row>
    <row r="98" spans="3:7" x14ac:dyDescent="0.2">
      <c r="C98" s="1"/>
      <c r="F98" s="1"/>
      <c r="G98" s="1"/>
    </row>
    <row r="99" spans="3:7" x14ac:dyDescent="0.2">
      <c r="C99" s="1"/>
      <c r="F99" s="1"/>
      <c r="G99" s="1"/>
    </row>
    <row r="100" spans="3:7" x14ac:dyDescent="0.2">
      <c r="C100" s="1"/>
      <c r="F100" s="1"/>
      <c r="G100" s="1"/>
    </row>
    <row r="101" spans="3:7" x14ac:dyDescent="0.2">
      <c r="C101" s="1"/>
      <c r="F101" s="1"/>
      <c r="G101" s="1"/>
    </row>
    <row r="102" spans="3:7" x14ac:dyDescent="0.2">
      <c r="C102" s="1"/>
      <c r="F102" s="1"/>
      <c r="G102" s="1"/>
    </row>
    <row r="103" spans="3:7" x14ac:dyDescent="0.2">
      <c r="C103" s="1"/>
      <c r="F103" s="1"/>
      <c r="G103" s="1"/>
    </row>
    <row r="104" spans="3:7" x14ac:dyDescent="0.2">
      <c r="C104" s="1"/>
      <c r="F104" s="1"/>
      <c r="G104" s="1"/>
    </row>
    <row r="105" spans="3:7" x14ac:dyDescent="0.2">
      <c r="C105" s="1"/>
      <c r="F105" s="1"/>
      <c r="G105" s="1"/>
    </row>
  </sheetData>
  <mergeCells count="1">
    <mergeCell ref="P8:Q8"/>
  </mergeCells>
  <pageMargins left="0.70866141732283472" right="0.70866141732283472" top="0.78740157480314965" bottom="0.78740157480314965" header="0.31496062992125984" footer="0.31496062992125984"/>
  <pageSetup paperSize="9" scale="65" orientation="landscape" horizontalDpi="300" verticalDpi="300"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4"/>
  <sheetViews>
    <sheetView workbookViewId="0"/>
  </sheetViews>
  <sheetFormatPr baseColWidth="10" defaultRowHeight="12.75" x14ac:dyDescent="0.2"/>
  <cols>
    <col min="1" max="1" width="7.28515625" style="55" customWidth="1"/>
    <col min="2" max="2" width="21.85546875" style="55" customWidth="1"/>
    <col min="3" max="3" width="6.7109375" style="55" customWidth="1"/>
    <col min="4" max="4" width="12.5703125" style="55" customWidth="1"/>
    <col min="5" max="5" width="16.5703125" style="57" customWidth="1"/>
    <col min="6" max="6" width="15.140625" style="60" customWidth="1"/>
    <col min="7" max="7" width="18.42578125" style="57" customWidth="1"/>
    <col min="8" max="8" width="11.42578125" style="60" customWidth="1"/>
    <col min="9" max="9" width="11.42578125" style="60"/>
    <col min="10" max="10" width="12.42578125" style="55" customWidth="1"/>
    <col min="11" max="11" width="11.42578125" style="55" customWidth="1"/>
    <col min="12" max="16384" width="11.42578125" style="55"/>
  </cols>
  <sheetData>
    <row r="1" spans="1:12" x14ac:dyDescent="0.2">
      <c r="A1" s="55" t="s">
        <v>37</v>
      </c>
      <c r="B1" s="55" t="s">
        <v>38</v>
      </c>
      <c r="C1" s="55" t="s">
        <v>70</v>
      </c>
      <c r="D1" s="55" t="s">
        <v>0</v>
      </c>
      <c r="F1" s="58" t="s">
        <v>47</v>
      </c>
      <c r="G1" s="59"/>
      <c r="H1" s="58" t="s">
        <v>46</v>
      </c>
    </row>
    <row r="2" spans="1:12" x14ac:dyDescent="0.2">
      <c r="F2" s="58"/>
      <c r="G2" s="59"/>
    </row>
    <row r="3" spans="1:12" x14ac:dyDescent="0.2">
      <c r="F3" s="58"/>
      <c r="G3" s="59"/>
      <c r="H3" s="58"/>
      <c r="J3" s="56" t="s">
        <v>79</v>
      </c>
    </row>
    <row r="4" spans="1:12" x14ac:dyDescent="0.2">
      <c r="F4" s="58"/>
      <c r="G4" s="59"/>
      <c r="H4" s="58"/>
      <c r="J4" s="69" t="s">
        <v>69</v>
      </c>
    </row>
    <row r="5" spans="1:12" x14ac:dyDescent="0.2">
      <c r="B5" s="55" t="s">
        <v>55</v>
      </c>
      <c r="F5" s="58" t="s">
        <v>66</v>
      </c>
      <c r="G5" s="59" t="s">
        <v>48</v>
      </c>
      <c r="H5" s="58" t="s">
        <v>65</v>
      </c>
      <c r="J5" s="69" t="s">
        <v>80</v>
      </c>
    </row>
    <row r="6" spans="1:12" x14ac:dyDescent="0.2">
      <c r="B6" s="55" t="s">
        <v>56</v>
      </c>
      <c r="F6" s="58"/>
      <c r="G6" s="59"/>
      <c r="H6" s="75" t="s">
        <v>91</v>
      </c>
      <c r="J6" s="70" t="s">
        <v>71</v>
      </c>
    </row>
    <row r="7" spans="1:12" x14ac:dyDescent="0.2">
      <c r="F7" s="58"/>
      <c r="G7" s="59"/>
      <c r="H7" s="58"/>
      <c r="J7" s="69" t="s">
        <v>72</v>
      </c>
    </row>
    <row r="8" spans="1:12" x14ac:dyDescent="0.2">
      <c r="B8" s="55" t="s">
        <v>63</v>
      </c>
      <c r="D8" s="55" t="s">
        <v>61</v>
      </c>
      <c r="E8" s="57" t="s">
        <v>60</v>
      </c>
      <c r="F8" s="58"/>
      <c r="G8" s="59"/>
      <c r="H8" s="58"/>
      <c r="I8" s="60" t="s">
        <v>57</v>
      </c>
      <c r="J8" s="69" t="s">
        <v>81</v>
      </c>
    </row>
    <row r="9" spans="1:12" x14ac:dyDescent="0.2">
      <c r="A9" s="61"/>
      <c r="E9" s="57" t="s">
        <v>59</v>
      </c>
      <c r="F9" s="58"/>
      <c r="G9" s="59"/>
      <c r="H9" s="58"/>
      <c r="I9" s="55" t="s">
        <v>58</v>
      </c>
      <c r="J9" s="69" t="s">
        <v>82</v>
      </c>
      <c r="K9" s="55" t="s">
        <v>85</v>
      </c>
      <c r="L9" s="55" t="s">
        <v>86</v>
      </c>
    </row>
    <row r="10" spans="1:12" x14ac:dyDescent="0.2">
      <c r="A10" s="61">
        <v>44470</v>
      </c>
      <c r="B10" s="62">
        <v>6.333333333333333</v>
      </c>
      <c r="C10" s="63"/>
      <c r="E10" s="59">
        <v>6.33</v>
      </c>
      <c r="F10" s="64">
        <f>IF(B10&gt;$C$24,B10,IF((F9+B10-B9)&lt;0,$C$24,F9+B10-B9))</f>
        <v>6.333333333333333</v>
      </c>
      <c r="H10" s="64">
        <f>IF(F10&gt;$C$24,0,IF(B9&gt;$C$24,-B10+$C$24,B9-B10))</f>
        <v>0</v>
      </c>
      <c r="J10" s="71">
        <f>IF(B10&gt;$C$24,0,IF((D9+$C$24)&gt;0,B10+$C$24, B10-B9))</f>
        <v>0</v>
      </c>
      <c r="K10" s="63">
        <f>IF(B10&gt;=$C$24,0,IF(B9&gt;$C$24,$C$24-B10,B9-B10))</f>
        <v>0</v>
      </c>
      <c r="L10" s="63">
        <f t="shared" ref="L10:L21" si="0">IF(B10&gt;=$C$24,0,IF(B9&gt;$C$24,$C$24-B10,IF((B9-B10)&lt;0,0,B9-B10)))</f>
        <v>0</v>
      </c>
    </row>
    <row r="11" spans="1:12" x14ac:dyDescent="0.2">
      <c r="A11" s="61">
        <v>44501</v>
      </c>
      <c r="B11" s="62">
        <v>4.2666666666666657</v>
      </c>
      <c r="C11" s="63"/>
      <c r="D11" s="63">
        <f>B11-B10</f>
        <v>-2.0666666666666673</v>
      </c>
      <c r="E11" s="59">
        <v>4.2699999999999996</v>
      </c>
      <c r="F11" s="64">
        <f>IF(B11&gt;$C$24,B11,IF((F10+B11-B10)&lt;0,$C$24,F10+B11-B10))</f>
        <v>4.2666666666666657</v>
      </c>
      <c r="H11" s="64">
        <f>IF(F11&gt;$C$24,0,IF(B10&gt;$C$24,-B11+$C$24,B10-B11))</f>
        <v>0</v>
      </c>
      <c r="J11" s="71">
        <f t="shared" ref="J11:J21" si="1">IF(B11&gt;$C$24,0,IF((D10+$C$24)&gt;0,B11+$C$24, B11-B10))</f>
        <v>0</v>
      </c>
      <c r="K11" s="63">
        <f t="shared" ref="K11:K21" si="2">IF(B11&gt;=$C$24,0,IF(B10&gt;$C$24,$C$24-B11,B10-B11))</f>
        <v>0</v>
      </c>
      <c r="L11" s="63">
        <f t="shared" si="0"/>
        <v>0</v>
      </c>
    </row>
    <row r="12" spans="1:12" x14ac:dyDescent="0.2">
      <c r="A12" s="61">
        <v>44531</v>
      </c>
      <c r="B12" s="62">
        <v>2.6999999999999997</v>
      </c>
      <c r="C12" s="63"/>
      <c r="D12" s="63">
        <f t="shared" ref="D12:D21" si="3">B12-B11</f>
        <v>-1.566666666666666</v>
      </c>
      <c r="E12" s="59">
        <v>2.7</v>
      </c>
      <c r="F12" s="64">
        <f>IF(B12&gt;$C$24,B12,IF((F11+B12-B11)&lt;0,$C$24,F11+B12-B11))</f>
        <v>2.6999999999999997</v>
      </c>
      <c r="H12" s="64">
        <f>IF(F12&gt;$C$24,0,IF(B11&gt;$C$24,-B12+$C$24,B11-B12))</f>
        <v>0</v>
      </c>
      <c r="J12" s="71">
        <f t="shared" si="1"/>
        <v>0</v>
      </c>
      <c r="K12" s="63">
        <f t="shared" si="2"/>
        <v>0</v>
      </c>
      <c r="L12" s="63">
        <f t="shared" si="0"/>
        <v>0</v>
      </c>
    </row>
    <row r="13" spans="1:12" s="60" customFormat="1" x14ac:dyDescent="0.2">
      <c r="A13" s="65">
        <v>44562</v>
      </c>
      <c r="B13" s="62">
        <v>0.83333333333333304</v>
      </c>
      <c r="C13" s="63"/>
      <c r="D13" s="66">
        <f t="shared" si="3"/>
        <v>-1.8666666666666667</v>
      </c>
      <c r="E13" s="67">
        <v>0.83</v>
      </c>
      <c r="F13" s="64">
        <f>IF(B13&gt;$C$24,B13,IF((F12+B13-B12)&lt;0,$C$24,F12+B13-B12))</f>
        <v>0.83333333333333304</v>
      </c>
      <c r="G13" s="77" t="s">
        <v>93</v>
      </c>
      <c r="H13" s="64">
        <f t="shared" ref="H13:H20" si="4">IF(F13&gt;$C$24,0,IF(B12&gt;$C$24,-B13+$C$24,B12-B13))</f>
        <v>0</v>
      </c>
      <c r="J13" s="71">
        <f t="shared" si="1"/>
        <v>0</v>
      </c>
      <c r="K13" s="63">
        <f t="shared" si="2"/>
        <v>0</v>
      </c>
      <c r="L13" s="63">
        <f t="shared" si="0"/>
        <v>0</v>
      </c>
    </row>
    <row r="14" spans="1:12" x14ac:dyDescent="0.2">
      <c r="A14" s="61">
        <v>44593</v>
      </c>
      <c r="B14" s="62">
        <v>-0.53333333333333366</v>
      </c>
      <c r="C14" s="63"/>
      <c r="D14" s="63">
        <f t="shared" si="3"/>
        <v>-1.3666666666666667</v>
      </c>
      <c r="E14" s="59">
        <v>0.5</v>
      </c>
      <c r="F14" s="64">
        <f>IF(B14&gt;$C$24,B14,IF((F13+B14-B13)&lt;0,$C$24,F13+B14-B13))</f>
        <v>0.5</v>
      </c>
      <c r="H14" s="64">
        <f t="shared" si="4"/>
        <v>1.0333333333333337</v>
      </c>
      <c r="I14" s="66">
        <v>1.0333333333333337</v>
      </c>
      <c r="J14" s="71">
        <f t="shared" si="1"/>
        <v>-1.3666666666666667</v>
      </c>
      <c r="K14" s="63">
        <f t="shared" si="2"/>
        <v>1.0333333333333337</v>
      </c>
      <c r="L14" s="63">
        <f t="shared" si="0"/>
        <v>1.0333333333333337</v>
      </c>
    </row>
    <row r="15" spans="1:12" x14ac:dyDescent="0.2">
      <c r="A15" s="61">
        <v>44621</v>
      </c>
      <c r="B15" s="62">
        <v>-1.9</v>
      </c>
      <c r="C15" s="63"/>
      <c r="D15" s="63">
        <f t="shared" si="3"/>
        <v>-1.3666666666666663</v>
      </c>
      <c r="E15" s="59">
        <v>0.5</v>
      </c>
      <c r="F15" s="64">
        <f t="shared" ref="F15:F17" si="5">IF(B15&gt;$C$24,B15,IF((F14+B15-B14)&lt;0,$C$24,F14+B15-B14))</f>
        <v>0.5</v>
      </c>
      <c r="H15" s="64">
        <f>IF(F15&gt;$C$24,0,IF(B14&gt;$C$24,-B15+$C$24,B14-B15))</f>
        <v>1.3666666666666663</v>
      </c>
      <c r="I15" s="66">
        <v>1.3666666666666663</v>
      </c>
      <c r="J15" s="71">
        <f t="shared" si="1"/>
        <v>-1.3666666666666663</v>
      </c>
      <c r="K15" s="63">
        <f t="shared" si="2"/>
        <v>1.3666666666666663</v>
      </c>
      <c r="L15" s="63">
        <f t="shared" si="0"/>
        <v>1.3666666666666663</v>
      </c>
    </row>
    <row r="16" spans="1:12" x14ac:dyDescent="0.2">
      <c r="A16" s="61">
        <v>44652</v>
      </c>
      <c r="B16" s="62">
        <v>-2.8666666666666667</v>
      </c>
      <c r="C16" s="63"/>
      <c r="D16" s="63">
        <f t="shared" si="3"/>
        <v>-0.96666666666666679</v>
      </c>
      <c r="E16" s="59">
        <v>0.5</v>
      </c>
      <c r="F16" s="64">
        <f t="shared" si="5"/>
        <v>0.5</v>
      </c>
      <c r="G16" s="57" t="s">
        <v>73</v>
      </c>
      <c r="H16" s="64">
        <f t="shared" si="4"/>
        <v>0.96666666666666679</v>
      </c>
      <c r="I16" s="66">
        <v>0.96666666666666679</v>
      </c>
      <c r="J16" s="71">
        <f t="shared" si="1"/>
        <v>-0.96666666666666679</v>
      </c>
      <c r="K16" s="63">
        <f t="shared" si="2"/>
        <v>0.96666666666666679</v>
      </c>
      <c r="L16" s="63">
        <f t="shared" si="0"/>
        <v>0.96666666666666679</v>
      </c>
    </row>
    <row r="17" spans="1:13" x14ac:dyDescent="0.2">
      <c r="A17" s="61">
        <v>44682</v>
      </c>
      <c r="B17" s="62">
        <v>-2.0333333333333337</v>
      </c>
      <c r="C17" s="63"/>
      <c r="D17" s="63">
        <f t="shared" si="3"/>
        <v>0.83333333333333304</v>
      </c>
      <c r="E17" s="59" t="s">
        <v>43</v>
      </c>
      <c r="F17" s="64">
        <f t="shared" si="5"/>
        <v>1.333333333333333</v>
      </c>
      <c r="G17" s="57" t="s">
        <v>74</v>
      </c>
      <c r="H17" s="64">
        <f>IF(F17&gt;$C$24,0,IF(B16&gt;$C$24,-B17+$C$24,B16-B17))</f>
        <v>0</v>
      </c>
      <c r="J17" s="71">
        <f t="shared" si="1"/>
        <v>0.83333333333333304</v>
      </c>
      <c r="K17" s="63">
        <f t="shared" si="2"/>
        <v>-0.83333333333333304</v>
      </c>
      <c r="L17" s="63">
        <f t="shared" si="0"/>
        <v>0</v>
      </c>
    </row>
    <row r="18" spans="1:13" x14ac:dyDescent="0.2">
      <c r="A18" s="61">
        <v>44713</v>
      </c>
      <c r="B18" s="62">
        <v>-1.2999999999999998</v>
      </c>
      <c r="C18" s="63"/>
      <c r="D18" s="63">
        <f t="shared" si="3"/>
        <v>0.73333333333333384</v>
      </c>
      <c r="E18" s="59" t="s">
        <v>44</v>
      </c>
      <c r="F18" s="64">
        <f>IF(B18&gt;$C$24,B18,IF((F17+B18-B17)&lt;0,$C$24,F17+B18-B17))</f>
        <v>2.0666666666666669</v>
      </c>
      <c r="G18" s="57" t="s">
        <v>75</v>
      </c>
      <c r="H18" s="64">
        <f t="shared" si="4"/>
        <v>0</v>
      </c>
      <c r="J18" s="71">
        <f t="shared" si="1"/>
        <v>-0.79999999999999982</v>
      </c>
      <c r="K18" s="63">
        <f t="shared" si="2"/>
        <v>-0.73333333333333384</v>
      </c>
      <c r="L18" s="63">
        <f t="shared" si="0"/>
        <v>0</v>
      </c>
    </row>
    <row r="19" spans="1:13" x14ac:dyDescent="0.2">
      <c r="A19" s="61">
        <v>44743</v>
      </c>
      <c r="B19" s="62">
        <v>-0.66666666666666663</v>
      </c>
      <c r="C19" s="63"/>
      <c r="D19" s="63">
        <f t="shared" si="3"/>
        <v>0.63333333333333319</v>
      </c>
      <c r="E19" s="59" t="s">
        <v>41</v>
      </c>
      <c r="F19" s="64">
        <f>IF(B19&gt;$C$24,B19,IF((F18+B19-B18)&lt;0,$C$24,F18+B19-B18))</f>
        <v>2.7</v>
      </c>
      <c r="G19" s="57" t="s">
        <v>76</v>
      </c>
      <c r="H19" s="64">
        <f t="shared" si="4"/>
        <v>0</v>
      </c>
      <c r="J19" s="71">
        <f t="shared" si="1"/>
        <v>-0.16666666666666663</v>
      </c>
      <c r="K19" s="63">
        <f t="shared" si="2"/>
        <v>-0.63333333333333319</v>
      </c>
      <c r="L19" s="63">
        <f t="shared" si="0"/>
        <v>0</v>
      </c>
    </row>
    <row r="20" spans="1:13" x14ac:dyDescent="0.2">
      <c r="A20" s="61">
        <v>44774</v>
      </c>
      <c r="B20" s="62">
        <v>-0.33333333333333326</v>
      </c>
      <c r="C20" s="63"/>
      <c r="D20" s="63">
        <f t="shared" si="3"/>
        <v>0.33333333333333337</v>
      </c>
      <c r="E20" s="59" t="s">
        <v>42</v>
      </c>
      <c r="F20" s="64">
        <f>IF(B20&gt;$C$24,B20,IF((F19+B20-B19)&lt;0,$C$24,F19+B20-B19))</f>
        <v>3.0333333333333337</v>
      </c>
      <c r="G20" s="57" t="s">
        <v>77</v>
      </c>
      <c r="H20" s="64">
        <f t="shared" si="4"/>
        <v>0</v>
      </c>
      <c r="J20" s="71">
        <f t="shared" si="1"/>
        <v>0.16666666666666674</v>
      </c>
      <c r="K20" s="63">
        <f t="shared" si="2"/>
        <v>-0.33333333333333337</v>
      </c>
      <c r="L20" s="63">
        <f t="shared" si="0"/>
        <v>0</v>
      </c>
    </row>
    <row r="21" spans="1:13" x14ac:dyDescent="0.2">
      <c r="A21" s="61">
        <v>44805</v>
      </c>
      <c r="B21" s="62">
        <v>-0.70000000000000007</v>
      </c>
      <c r="C21" s="63"/>
      <c r="D21" s="63">
        <f t="shared" si="3"/>
        <v>-0.36666666666666681</v>
      </c>
      <c r="E21" s="59" t="s">
        <v>45</v>
      </c>
      <c r="F21" s="64">
        <f t="shared" ref="F21" si="6">IF(B21&gt;$C$24,B21,IF((F20+B21-B20)&lt;0,$C$24,F20+B21-B20))</f>
        <v>2.666666666666667</v>
      </c>
      <c r="G21" s="57" t="s">
        <v>78</v>
      </c>
      <c r="H21" s="64">
        <f>IF(F21&gt;$C$24,0,IF(B20&gt;$C$24,-B21+$C$24,B20-B21))</f>
        <v>0</v>
      </c>
      <c r="J21" s="71">
        <f t="shared" si="1"/>
        <v>-0.20000000000000007</v>
      </c>
      <c r="K21" s="63">
        <f t="shared" si="2"/>
        <v>0.36666666666666681</v>
      </c>
      <c r="L21" s="63">
        <f t="shared" si="0"/>
        <v>0.36666666666666681</v>
      </c>
      <c r="M21" s="55" t="s">
        <v>89</v>
      </c>
    </row>
    <row r="22" spans="1:13" x14ac:dyDescent="0.2">
      <c r="H22" s="74">
        <f>SUM(H10:H21)</f>
        <v>3.3666666666666667</v>
      </c>
      <c r="I22" s="66">
        <f>SUM(I10:I21)</f>
        <v>3.3666666666666667</v>
      </c>
      <c r="J22" s="69" t="b">
        <v>0</v>
      </c>
      <c r="K22" s="55" t="b">
        <v>0</v>
      </c>
      <c r="L22" s="55" t="s">
        <v>87</v>
      </c>
    </row>
    <row r="23" spans="1:13" x14ac:dyDescent="0.2">
      <c r="A23" s="61"/>
      <c r="B23" s="55" t="s">
        <v>39</v>
      </c>
      <c r="C23" s="55">
        <v>8.8000000000000007</v>
      </c>
      <c r="F23" s="58" t="s">
        <v>96</v>
      </c>
      <c r="G23" s="57" t="s">
        <v>48</v>
      </c>
      <c r="H23" s="58" t="s">
        <v>50</v>
      </c>
      <c r="I23" s="60" t="s">
        <v>49</v>
      </c>
    </row>
    <row r="24" spans="1:13" x14ac:dyDescent="0.2">
      <c r="A24" s="61"/>
      <c r="B24" s="55" t="s">
        <v>40</v>
      </c>
      <c r="C24" s="55">
        <v>0.5</v>
      </c>
      <c r="F24" s="58" t="s">
        <v>95</v>
      </c>
      <c r="G24" s="57" t="s">
        <v>50</v>
      </c>
      <c r="H24" s="60" t="s">
        <v>94</v>
      </c>
    </row>
    <row r="26" spans="1:13" x14ac:dyDescent="0.2">
      <c r="F26" s="66" t="s">
        <v>54</v>
      </c>
      <c r="H26" s="60" t="s">
        <v>54</v>
      </c>
    </row>
    <row r="27" spans="1:13" x14ac:dyDescent="0.2">
      <c r="B27" s="55" t="s">
        <v>55</v>
      </c>
      <c r="E27" s="60"/>
    </row>
    <row r="28" spans="1:13" x14ac:dyDescent="0.2">
      <c r="B28" s="55" t="s">
        <v>62</v>
      </c>
      <c r="E28" s="60"/>
      <c r="H28" s="60" t="s">
        <v>64</v>
      </c>
      <c r="L28" s="55" t="s">
        <v>83</v>
      </c>
    </row>
    <row r="29" spans="1:13" x14ac:dyDescent="0.2">
      <c r="A29" s="14"/>
      <c r="B29" s="63"/>
      <c r="E29" s="66"/>
      <c r="F29" s="60" t="s">
        <v>88</v>
      </c>
      <c r="H29" s="68" t="s">
        <v>67</v>
      </c>
    </row>
    <row r="30" spans="1:13" x14ac:dyDescent="0.2">
      <c r="A30" s="14">
        <v>44470</v>
      </c>
      <c r="B30" s="62">
        <v>7.3525</v>
      </c>
      <c r="E30" s="66"/>
      <c r="F30" s="64">
        <f>IF(B30&lt;$C$23,B30,IF((B30)&gt;$C$23,$C$23,B30))</f>
        <v>7.3525</v>
      </c>
      <c r="G30" s="59"/>
      <c r="H30" s="64">
        <f>IF(B30&lt;$C$23,0,IF((B29-$C$23)&lt;0,B30-$C$23, B30-B29))</f>
        <v>0</v>
      </c>
    </row>
    <row r="31" spans="1:13" x14ac:dyDescent="0.2">
      <c r="A31" s="14">
        <v>44501</v>
      </c>
      <c r="B31" s="62">
        <v>6.2675000000000001</v>
      </c>
      <c r="D31" s="63">
        <f>B31-B30</f>
        <v>-1.085</v>
      </c>
      <c r="E31" s="66"/>
      <c r="F31" s="64">
        <f>IF(B31&lt;$C$23,B31,IF((B31)&gt;$C$23,$C$23,B31))</f>
        <v>6.2675000000000001</v>
      </c>
      <c r="G31" s="59"/>
      <c r="H31" s="64">
        <f>IF(B31&lt;$C$23,0,IF((B30-$C$23)&lt;0,B31-$C$23, B31-B30))</f>
        <v>0</v>
      </c>
      <c r="I31" s="63"/>
    </row>
    <row r="32" spans="1:13" x14ac:dyDescent="0.2">
      <c r="A32" s="14">
        <v>44531</v>
      </c>
      <c r="B32" s="62">
        <v>5.6675000000000004</v>
      </c>
      <c r="D32" s="63">
        <f t="shared" ref="D32:D41" si="7">B32-B31</f>
        <v>-0.59999999999999964</v>
      </c>
      <c r="E32" s="66"/>
      <c r="F32" s="64">
        <f t="shared" ref="F32:F37" si="8">IF(B32&lt;$C$23,B32,IF((B32)&gt;$C$23,$C$23,B32))</f>
        <v>5.6675000000000004</v>
      </c>
      <c r="G32" s="59"/>
      <c r="H32" s="64">
        <f t="shared" ref="H32:H41" si="9">IF(B32&lt;$C$23,0,IF((B31-$C$23)&lt;0,B32-$C$23, B32-B31))</f>
        <v>0</v>
      </c>
      <c r="I32" s="63"/>
    </row>
    <row r="33" spans="1:9" x14ac:dyDescent="0.2">
      <c r="A33" s="14">
        <v>44562</v>
      </c>
      <c r="B33" s="62">
        <v>4.8425000000000002</v>
      </c>
      <c r="D33" s="63">
        <f t="shared" si="7"/>
        <v>-0.82500000000000018</v>
      </c>
      <c r="E33" s="66"/>
      <c r="F33" s="64">
        <f t="shared" si="8"/>
        <v>4.8425000000000002</v>
      </c>
      <c r="G33" s="59"/>
      <c r="H33" s="64">
        <f t="shared" si="9"/>
        <v>0</v>
      </c>
      <c r="I33" s="63"/>
    </row>
    <row r="34" spans="1:9" x14ac:dyDescent="0.2">
      <c r="A34" s="14">
        <v>44593</v>
      </c>
      <c r="B34" s="62">
        <v>4.5599999999999996</v>
      </c>
      <c r="C34" s="63"/>
      <c r="D34" s="63">
        <f t="shared" si="7"/>
        <v>-0.28250000000000064</v>
      </c>
      <c r="E34" s="66"/>
      <c r="F34" s="64">
        <f t="shared" si="8"/>
        <v>4.5599999999999996</v>
      </c>
      <c r="G34" s="76"/>
      <c r="H34" s="64">
        <f t="shared" si="9"/>
        <v>0</v>
      </c>
      <c r="I34" s="63"/>
    </row>
    <row r="35" spans="1:9" x14ac:dyDescent="0.2">
      <c r="A35" s="14">
        <v>44621</v>
      </c>
      <c r="B35" s="62">
        <v>4.3049999999999997</v>
      </c>
      <c r="D35" s="63">
        <f t="shared" si="7"/>
        <v>-0.25499999999999989</v>
      </c>
      <c r="E35" s="66"/>
      <c r="F35" s="64">
        <f t="shared" si="8"/>
        <v>4.3049999999999997</v>
      </c>
      <c r="G35" s="59" t="s">
        <v>92</v>
      </c>
      <c r="H35" s="64">
        <f t="shared" si="9"/>
        <v>0</v>
      </c>
      <c r="I35" s="63"/>
    </row>
    <row r="36" spans="1:9" x14ac:dyDescent="0.2">
      <c r="A36" s="14">
        <v>44652</v>
      </c>
      <c r="B36" s="62">
        <v>4.3949999999999996</v>
      </c>
      <c r="D36" s="63">
        <f t="shared" si="7"/>
        <v>8.9999999999999858E-2</v>
      </c>
      <c r="E36" s="66"/>
      <c r="F36" s="64">
        <f>IF(B36&lt;$C$23,B36,IF((B36)&gt;$C$23,$C$23,B36))</f>
        <v>4.3949999999999996</v>
      </c>
      <c r="G36" s="59"/>
      <c r="H36" s="64">
        <f t="shared" si="9"/>
        <v>0</v>
      </c>
      <c r="I36" s="63"/>
    </row>
    <row r="37" spans="1:9" x14ac:dyDescent="0.2">
      <c r="A37" s="14">
        <v>44682</v>
      </c>
      <c r="B37" s="62">
        <v>6.2249999999999996</v>
      </c>
      <c r="D37" s="63">
        <f t="shared" si="7"/>
        <v>1.83</v>
      </c>
      <c r="E37" s="66"/>
      <c r="F37" s="64">
        <f t="shared" si="8"/>
        <v>6.2249999999999996</v>
      </c>
      <c r="G37" s="59"/>
      <c r="H37" s="64">
        <f t="shared" si="9"/>
        <v>0</v>
      </c>
      <c r="I37" s="63"/>
    </row>
    <row r="38" spans="1:9" x14ac:dyDescent="0.2">
      <c r="A38" s="14">
        <v>44713</v>
      </c>
      <c r="B38" s="62">
        <v>7.9175000000000004</v>
      </c>
      <c r="D38" s="63">
        <f t="shared" si="7"/>
        <v>1.6925000000000008</v>
      </c>
      <c r="E38" s="66"/>
      <c r="F38" s="64">
        <f>IF(B38&lt;$C$23,B38,IF((B38)&gt;$C$23,$C$23,B38))</f>
        <v>7.9175000000000004</v>
      </c>
      <c r="G38" s="59"/>
      <c r="H38" s="64">
        <f t="shared" si="9"/>
        <v>0</v>
      </c>
      <c r="I38" s="63"/>
    </row>
    <row r="39" spans="1:9" x14ac:dyDescent="0.2">
      <c r="A39" s="14">
        <v>44743</v>
      </c>
      <c r="B39" s="62">
        <v>9.5325000000000006</v>
      </c>
      <c r="D39" s="63">
        <f t="shared" si="7"/>
        <v>1.6150000000000002</v>
      </c>
      <c r="E39" s="66"/>
      <c r="F39" s="64">
        <f>IF(B39&lt;$C$23,B39,IF((B39)&gt;$C$23,$C$23,B39))</f>
        <v>8.8000000000000007</v>
      </c>
      <c r="G39" s="59"/>
      <c r="H39" s="64">
        <f t="shared" si="9"/>
        <v>0.73249999999999993</v>
      </c>
      <c r="I39" s="63"/>
    </row>
    <row r="40" spans="1:9" x14ac:dyDescent="0.2">
      <c r="A40" s="14">
        <v>44774</v>
      </c>
      <c r="B40" s="62">
        <v>10.870000000000001</v>
      </c>
      <c r="D40" s="63">
        <f t="shared" si="7"/>
        <v>1.3375000000000004</v>
      </c>
      <c r="E40" s="66"/>
      <c r="F40" s="64">
        <f>IF(B40&lt;$C$23,B40,IF((B40)&gt;$C$23,$C$23,B40))</f>
        <v>8.8000000000000007</v>
      </c>
      <c r="G40" s="59"/>
      <c r="H40" s="64">
        <f t="shared" si="9"/>
        <v>1.3375000000000004</v>
      </c>
      <c r="I40" s="63"/>
    </row>
    <row r="41" spans="1:9" x14ac:dyDescent="0.2">
      <c r="A41" s="14">
        <v>44805</v>
      </c>
      <c r="B41" s="62">
        <v>11.5</v>
      </c>
      <c r="D41" s="63">
        <f t="shared" si="7"/>
        <v>0.62999999999999901</v>
      </c>
      <c r="E41" s="66"/>
      <c r="F41" s="64">
        <f t="shared" ref="F41" si="10">IF(B41&lt;$C$23,B41,IF((B41)&gt;$C$23,$C$23,B41))</f>
        <v>8.8000000000000007</v>
      </c>
      <c r="G41" s="59"/>
      <c r="H41" s="64">
        <f t="shared" si="9"/>
        <v>0.62999999999999901</v>
      </c>
      <c r="I41" s="63"/>
    </row>
    <row r="42" spans="1:9" x14ac:dyDescent="0.2">
      <c r="A42" s="73"/>
      <c r="B42" s="62"/>
      <c r="D42" s="63"/>
      <c r="E42" s="66"/>
      <c r="F42" s="64"/>
      <c r="G42" s="59"/>
      <c r="H42" s="74">
        <f>SUM(H30:H41)</f>
        <v>2.6999999999999993</v>
      </c>
      <c r="I42" s="63"/>
    </row>
    <row r="43" spans="1:9" x14ac:dyDescent="0.2">
      <c r="F43" s="60" t="s">
        <v>90</v>
      </c>
      <c r="H43" s="60" t="s">
        <v>90</v>
      </c>
    </row>
    <row r="44" spans="1:9" x14ac:dyDescent="0.2">
      <c r="B44" s="55" t="s">
        <v>68</v>
      </c>
    </row>
  </sheetData>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workbookViewId="0"/>
  </sheetViews>
  <sheetFormatPr baseColWidth="10" defaultRowHeight="12.75" x14ac:dyDescent="0.2"/>
  <cols>
    <col min="1" max="1" width="7.28515625" style="55" customWidth="1"/>
    <col min="2" max="2" width="17.85546875" style="55" customWidth="1"/>
    <col min="3" max="3" width="5.5703125" style="55" customWidth="1"/>
    <col min="4" max="4" width="1.85546875" style="55" customWidth="1"/>
    <col min="5" max="5" width="14.28515625" style="57" customWidth="1"/>
    <col min="6" max="6" width="12.85546875" style="60" customWidth="1"/>
    <col min="7" max="7" width="16.28515625" style="57" customWidth="1"/>
    <col min="8" max="8" width="11.42578125" style="60" customWidth="1"/>
    <col min="9" max="9" width="9" style="60" customWidth="1"/>
    <col min="10" max="10" width="11.5703125" style="55" customWidth="1"/>
    <col min="11" max="11" width="11.42578125" style="55" customWidth="1"/>
    <col min="12" max="16384" width="11.42578125" style="55"/>
  </cols>
  <sheetData>
    <row r="1" spans="1:12" x14ac:dyDescent="0.2">
      <c r="A1" s="55" t="s">
        <v>37</v>
      </c>
      <c r="B1" s="55" t="s">
        <v>115</v>
      </c>
      <c r="C1" s="55" t="s">
        <v>70</v>
      </c>
      <c r="F1" s="58" t="s">
        <v>108</v>
      </c>
      <c r="G1" s="59"/>
      <c r="H1" s="58" t="s">
        <v>108</v>
      </c>
    </row>
    <row r="2" spans="1:12" x14ac:dyDescent="0.2">
      <c r="F2" s="58"/>
      <c r="G2" s="59"/>
    </row>
    <row r="3" spans="1:12" x14ac:dyDescent="0.2">
      <c r="F3" s="58"/>
      <c r="G3" s="59"/>
      <c r="H3" s="58"/>
      <c r="J3" s="56"/>
    </row>
    <row r="4" spans="1:12" x14ac:dyDescent="0.2">
      <c r="F4" s="58"/>
      <c r="G4" s="59"/>
      <c r="H4" s="58"/>
      <c r="J4" s="69"/>
    </row>
    <row r="5" spans="1:12" x14ac:dyDescent="0.2">
      <c r="B5" s="55" t="s">
        <v>55</v>
      </c>
      <c r="F5" s="75" t="s">
        <v>66</v>
      </c>
      <c r="H5" s="75" t="s">
        <v>107</v>
      </c>
      <c r="J5" s="69"/>
    </row>
    <row r="6" spans="1:12" x14ac:dyDescent="0.2">
      <c r="B6" s="55" t="s">
        <v>116</v>
      </c>
      <c r="F6" s="58"/>
      <c r="G6" s="59"/>
      <c r="J6" s="70"/>
    </row>
    <row r="7" spans="1:12" x14ac:dyDescent="0.2">
      <c r="F7" s="58"/>
      <c r="G7" s="59"/>
      <c r="H7" s="58"/>
      <c r="J7" s="69"/>
    </row>
    <row r="8" spans="1:12" x14ac:dyDescent="0.2">
      <c r="B8" s="55" t="s">
        <v>63</v>
      </c>
      <c r="E8" s="57" t="s">
        <v>60</v>
      </c>
      <c r="F8" s="58"/>
      <c r="G8" s="59" t="s">
        <v>109</v>
      </c>
      <c r="H8" s="58"/>
      <c r="I8" s="60" t="s">
        <v>109</v>
      </c>
      <c r="J8" s="69"/>
    </row>
    <row r="9" spans="1:12" x14ac:dyDescent="0.2">
      <c r="A9" s="61"/>
      <c r="E9" s="57" t="s">
        <v>59</v>
      </c>
      <c r="F9" s="58"/>
      <c r="G9" s="59"/>
      <c r="H9" s="58"/>
      <c r="I9" s="55"/>
      <c r="J9" s="69"/>
    </row>
    <row r="10" spans="1:12" x14ac:dyDescent="0.2">
      <c r="A10" s="61">
        <v>44470</v>
      </c>
      <c r="B10" s="62">
        <v>6.333333333333333</v>
      </c>
      <c r="C10" s="63"/>
      <c r="E10" s="59">
        <v>6.33</v>
      </c>
      <c r="F10" s="64">
        <f>IF(B10&gt;=$C$24,B10,IF((F9+B10-B9)&lt;0,$C$24,F9+B10-B9))</f>
        <v>6.333333333333333</v>
      </c>
      <c r="H10" s="64">
        <f>IF(F10&gt;$C$24,0,IF(B9&gt;$C$24,$C$24-B10,B9-B10))</f>
        <v>0</v>
      </c>
      <c r="J10" s="71"/>
      <c r="K10" s="63"/>
      <c r="L10" s="63"/>
    </row>
    <row r="11" spans="1:12" x14ac:dyDescent="0.2">
      <c r="A11" s="61">
        <v>44501</v>
      </c>
      <c r="B11" s="62">
        <v>4.2666666666666657</v>
      </c>
      <c r="C11" s="63"/>
      <c r="D11" s="63"/>
      <c r="E11" s="59">
        <v>4.2699999999999996</v>
      </c>
      <c r="F11" s="64">
        <f>IF(B11&gt;=$C$24,B11,IF((F10+B11-B10)&lt;0,$C$24,F10+B11-B10))</f>
        <v>4.2666666666666657</v>
      </c>
      <c r="H11" s="64">
        <f>IF(F11&gt;$C$24,0,IF(B10&gt;$C$24,$C$24-B11,B10-B11))</f>
        <v>0</v>
      </c>
      <c r="J11" s="78" t="s">
        <v>98</v>
      </c>
      <c r="K11" s="79" t="s">
        <v>101</v>
      </c>
      <c r="L11" s="63"/>
    </row>
    <row r="12" spans="1:12" x14ac:dyDescent="0.2">
      <c r="A12" s="61">
        <v>44531</v>
      </c>
      <c r="B12" s="62">
        <v>2.6999999999999997</v>
      </c>
      <c r="C12" s="63"/>
      <c r="D12" s="63"/>
      <c r="E12" s="59">
        <v>2.7</v>
      </c>
      <c r="F12" s="64">
        <f t="shared" ref="F12:F21" si="0">IF(B12&gt;=$C$24,B12,IF((F11+B12-B11)&lt;0,$C$24,F11+B12-B11))</f>
        <v>2.6999999999999997</v>
      </c>
      <c r="H12" s="64">
        <f t="shared" ref="H12:H21" si="1">IF(F12&gt;$C$24,0,IF(B11&gt;$C$24,$C$24-B12,B11-B12))</f>
        <v>0</v>
      </c>
      <c r="J12" s="78" t="s">
        <v>97</v>
      </c>
      <c r="K12" s="79" t="s">
        <v>102</v>
      </c>
      <c r="L12" s="63"/>
    </row>
    <row r="13" spans="1:12" s="60" customFormat="1" x14ac:dyDescent="0.2">
      <c r="A13" s="65">
        <v>44562</v>
      </c>
      <c r="B13" s="62">
        <v>0.83333333333333304</v>
      </c>
      <c r="C13" s="63"/>
      <c r="D13" s="66"/>
      <c r="E13" s="67">
        <v>0.83</v>
      </c>
      <c r="F13" s="64">
        <f t="shared" si="0"/>
        <v>0.83333333333333304</v>
      </c>
      <c r="G13" s="77" t="s">
        <v>93</v>
      </c>
      <c r="H13" s="64">
        <f t="shared" si="1"/>
        <v>0</v>
      </c>
      <c r="J13" s="79"/>
      <c r="K13" s="79"/>
      <c r="L13" s="63"/>
    </row>
    <row r="14" spans="1:12" x14ac:dyDescent="0.2">
      <c r="A14" s="61">
        <v>44593</v>
      </c>
      <c r="B14" s="62">
        <v>-0.53333333333333366</v>
      </c>
      <c r="C14" s="63"/>
      <c r="D14" s="63"/>
      <c r="E14" s="59">
        <v>0.5</v>
      </c>
      <c r="F14" s="64">
        <f t="shared" si="0"/>
        <v>0.5</v>
      </c>
      <c r="H14" s="64">
        <f t="shared" si="1"/>
        <v>1.0333333333333337</v>
      </c>
      <c r="I14" s="66">
        <v>1.0333333333333337</v>
      </c>
      <c r="J14" s="79" t="s">
        <v>99</v>
      </c>
      <c r="K14" s="79" t="s">
        <v>103</v>
      </c>
      <c r="L14" s="63"/>
    </row>
    <row r="15" spans="1:12" x14ac:dyDescent="0.2">
      <c r="A15" s="61">
        <v>44621</v>
      </c>
      <c r="B15" s="62">
        <v>-1.9</v>
      </c>
      <c r="C15" s="63"/>
      <c r="D15" s="63"/>
      <c r="E15" s="59">
        <v>0.5</v>
      </c>
      <c r="F15" s="64">
        <f t="shared" si="0"/>
        <v>0.5</v>
      </c>
      <c r="H15" s="64">
        <f t="shared" si="1"/>
        <v>1.3666666666666663</v>
      </c>
      <c r="I15" s="66">
        <v>1.3666666666666663</v>
      </c>
      <c r="J15" s="79" t="s">
        <v>100</v>
      </c>
      <c r="K15" s="79" t="s">
        <v>104</v>
      </c>
      <c r="L15" s="63"/>
    </row>
    <row r="16" spans="1:12" x14ac:dyDescent="0.2">
      <c r="A16" s="61">
        <v>44652</v>
      </c>
      <c r="B16" s="62">
        <v>-2.8666666666666667</v>
      </c>
      <c r="C16" s="63"/>
      <c r="D16" s="63"/>
      <c r="E16" s="59">
        <v>0.5</v>
      </c>
      <c r="F16" s="64">
        <f t="shared" si="0"/>
        <v>0.5</v>
      </c>
      <c r="G16" s="57" t="s">
        <v>73</v>
      </c>
      <c r="H16" s="64">
        <f t="shared" si="1"/>
        <v>0.96666666666666679</v>
      </c>
      <c r="I16" s="66">
        <v>0.96666666666666679</v>
      </c>
      <c r="J16" s="71"/>
      <c r="K16" s="63"/>
      <c r="L16" s="63"/>
    </row>
    <row r="17" spans="1:12" x14ac:dyDescent="0.2">
      <c r="A17" s="61">
        <v>44682</v>
      </c>
      <c r="B17" s="62">
        <v>-2.0333333333333337</v>
      </c>
      <c r="C17" s="63"/>
      <c r="D17" s="63"/>
      <c r="E17" s="59" t="s">
        <v>43</v>
      </c>
      <c r="F17" s="64">
        <f t="shared" si="0"/>
        <v>1.333333333333333</v>
      </c>
      <c r="G17" s="57" t="s">
        <v>74</v>
      </c>
      <c r="H17" s="64">
        <f t="shared" si="1"/>
        <v>0</v>
      </c>
      <c r="J17" s="71"/>
      <c r="K17" s="63"/>
      <c r="L17" s="63"/>
    </row>
    <row r="18" spans="1:12" x14ac:dyDescent="0.2">
      <c r="A18" s="61">
        <v>44713</v>
      </c>
      <c r="B18" s="62">
        <v>-1.2999999999999998</v>
      </c>
      <c r="C18" s="63"/>
      <c r="D18" s="63"/>
      <c r="E18" s="59" t="s">
        <v>44</v>
      </c>
      <c r="F18" s="64">
        <f t="shared" si="0"/>
        <v>2.0666666666666669</v>
      </c>
      <c r="G18" s="57" t="s">
        <v>75</v>
      </c>
      <c r="H18" s="64">
        <f t="shared" si="1"/>
        <v>0</v>
      </c>
      <c r="J18" s="71"/>
      <c r="K18" s="63"/>
      <c r="L18" s="63"/>
    </row>
    <row r="19" spans="1:12" x14ac:dyDescent="0.2">
      <c r="A19" s="61">
        <v>44743</v>
      </c>
      <c r="B19" s="62">
        <v>-0.66666666666666663</v>
      </c>
      <c r="C19" s="63"/>
      <c r="D19" s="63"/>
      <c r="E19" s="59" t="s">
        <v>41</v>
      </c>
      <c r="F19" s="64">
        <f t="shared" si="0"/>
        <v>2.7</v>
      </c>
      <c r="G19" s="57" t="s">
        <v>76</v>
      </c>
      <c r="H19" s="64">
        <f t="shared" si="1"/>
        <v>0</v>
      </c>
      <c r="J19" s="71"/>
      <c r="K19" s="63"/>
      <c r="L19" s="63"/>
    </row>
    <row r="20" spans="1:12" x14ac:dyDescent="0.2">
      <c r="A20" s="61">
        <v>44774</v>
      </c>
      <c r="B20" s="62">
        <v>-0.33333333333333326</v>
      </c>
      <c r="C20" s="63"/>
      <c r="D20" s="63"/>
      <c r="E20" s="59" t="s">
        <v>42</v>
      </c>
      <c r="F20" s="64">
        <f t="shared" si="0"/>
        <v>3.0333333333333337</v>
      </c>
      <c r="G20" s="57" t="s">
        <v>77</v>
      </c>
      <c r="H20" s="64">
        <f t="shared" si="1"/>
        <v>0</v>
      </c>
      <c r="J20" s="71"/>
      <c r="K20" s="63" t="s">
        <v>105</v>
      </c>
      <c r="L20" s="63"/>
    </row>
    <row r="21" spans="1:12" x14ac:dyDescent="0.2">
      <c r="A21" s="61">
        <v>44805</v>
      </c>
      <c r="B21" s="62">
        <v>-0.70000000000000007</v>
      </c>
      <c r="C21" s="63"/>
      <c r="D21" s="63"/>
      <c r="E21" s="59" t="s">
        <v>45</v>
      </c>
      <c r="F21" s="64">
        <f t="shared" si="0"/>
        <v>2.666666666666667</v>
      </c>
      <c r="G21" s="57" t="s">
        <v>78</v>
      </c>
      <c r="H21" s="64">
        <f t="shared" si="1"/>
        <v>0</v>
      </c>
      <c r="J21" s="71"/>
      <c r="K21" s="63" t="s">
        <v>120</v>
      </c>
      <c r="L21" s="63"/>
    </row>
    <row r="22" spans="1:12" x14ac:dyDescent="0.2">
      <c r="H22" s="74">
        <f>SUM(H10:H21)</f>
        <v>3.3666666666666667</v>
      </c>
      <c r="I22" s="66">
        <f>SUM(I10:I21)</f>
        <v>3.3666666666666667</v>
      </c>
      <c r="J22" s="69"/>
    </row>
    <row r="23" spans="1:12" x14ac:dyDescent="0.2">
      <c r="A23" s="61"/>
      <c r="B23" s="55" t="s">
        <v>39</v>
      </c>
      <c r="C23" s="55">
        <v>8.8000000000000007</v>
      </c>
      <c r="F23" s="58" t="s">
        <v>110</v>
      </c>
      <c r="G23" s="57" t="s">
        <v>48</v>
      </c>
      <c r="H23" s="58" t="s">
        <v>50</v>
      </c>
      <c r="I23" s="57" t="s">
        <v>48</v>
      </c>
      <c r="J23" s="69" t="s">
        <v>118</v>
      </c>
      <c r="K23" s="69" t="s">
        <v>103</v>
      </c>
    </row>
    <row r="24" spans="1:12" x14ac:dyDescent="0.2">
      <c r="A24" s="61"/>
      <c r="B24" s="55" t="s">
        <v>40</v>
      </c>
      <c r="C24" s="55">
        <v>0.5</v>
      </c>
      <c r="F24" s="58" t="s">
        <v>111</v>
      </c>
      <c r="G24" s="57" t="s">
        <v>50</v>
      </c>
      <c r="H24" s="60" t="s">
        <v>114</v>
      </c>
      <c r="I24" s="57" t="s">
        <v>50</v>
      </c>
      <c r="J24" s="81" t="s">
        <v>117</v>
      </c>
      <c r="K24" s="69" t="s">
        <v>119</v>
      </c>
    </row>
    <row r="26" spans="1:12" x14ac:dyDescent="0.2">
      <c r="F26" s="66" t="s">
        <v>54</v>
      </c>
      <c r="H26" s="60" t="s">
        <v>54</v>
      </c>
    </row>
    <row r="27" spans="1:12" x14ac:dyDescent="0.2">
      <c r="B27" s="55" t="s">
        <v>55</v>
      </c>
      <c r="E27" s="60"/>
    </row>
    <row r="28" spans="1:12" x14ac:dyDescent="0.2">
      <c r="B28" s="55" t="s">
        <v>62</v>
      </c>
      <c r="E28" s="60"/>
      <c r="K28" s="55" t="s">
        <v>122</v>
      </c>
    </row>
    <row r="29" spans="1:12" x14ac:dyDescent="0.2">
      <c r="A29" s="14"/>
      <c r="B29" s="63"/>
      <c r="E29" s="66"/>
      <c r="F29" s="80" t="s">
        <v>88</v>
      </c>
      <c r="H29" s="68" t="s">
        <v>106</v>
      </c>
      <c r="K29" s="68" t="s">
        <v>121</v>
      </c>
    </row>
    <row r="30" spans="1:12" x14ac:dyDescent="0.2">
      <c r="A30" s="14">
        <v>44470</v>
      </c>
      <c r="B30" s="62">
        <v>7.3525</v>
      </c>
      <c r="E30" s="66"/>
      <c r="F30" s="64">
        <f t="shared" ref="F30:F41" si="2">IF(B30&lt;=$C$23,B30,IF((F29+B30-B29)&gt;$C$23,$C$23,F29+B30-B29))</f>
        <v>7.3525</v>
      </c>
      <c r="G30" s="59"/>
      <c r="H30" s="64">
        <f t="shared" ref="H30:H41" si="3">IF(F30&lt;$C$23,0,IF(B29&lt;$C$23,B30-$C$23, B30-B29))</f>
        <v>0</v>
      </c>
      <c r="K30" s="63">
        <f>IF(B30&lt;=8.8,IF(B30&gt;=$C$24,B30,IF((K29+B30-B29)&lt;0,$C$24,K29+B30-B29)),IF(B30&lt;=$C$23,B30,IF((F29+B30-B29)&gt;$C$23,$C$23,F29+B30-B29)))</f>
        <v>7.3525</v>
      </c>
    </row>
    <row r="31" spans="1:12" x14ac:dyDescent="0.2">
      <c r="A31" s="14">
        <v>44501</v>
      </c>
      <c r="B31" s="62">
        <v>6.2675000000000001</v>
      </c>
      <c r="D31" s="63"/>
      <c r="E31" s="66"/>
      <c r="F31" s="64">
        <f t="shared" si="2"/>
        <v>6.2675000000000001</v>
      </c>
      <c r="G31" s="59"/>
      <c r="H31" s="64">
        <f>IF(F31&lt;$C$23,0,IF(B30&lt;$C$23,B31-$C$23, B31-B30))</f>
        <v>0</v>
      </c>
      <c r="I31" s="63"/>
      <c r="K31" s="63">
        <f>IF(B31&lt;=8.8,IF(B31&gt;=$C$24,B31,IF((K30+B31-B30)&lt;0,$C$24,K30+B31-B30)),IF(B31&lt;=$C$23,B31,IF((F30+B31-B30)&gt;$C$23,$C$23,F30+B31-B30)))</f>
        <v>6.2675000000000001</v>
      </c>
    </row>
    <row r="32" spans="1:12" x14ac:dyDescent="0.2">
      <c r="A32" s="14">
        <v>44531</v>
      </c>
      <c r="B32" s="62">
        <v>10</v>
      </c>
      <c r="D32" s="63"/>
      <c r="E32" s="66"/>
      <c r="F32" s="64">
        <f t="shared" si="2"/>
        <v>8.8000000000000007</v>
      </c>
      <c r="G32" s="59"/>
      <c r="H32" s="64">
        <f t="shared" si="3"/>
        <v>1.1999999999999993</v>
      </c>
      <c r="I32" s="63"/>
      <c r="K32" s="63">
        <f t="shared" ref="K32:K41" si="4">IF(B32&lt;=8.8,IF(B32&gt;=$C$24,B32,IF((K31+B32-B31)&lt;0,$C$24,K31+B32-B31)),IF(B32&lt;=$C$23,B32,IF((F31+B32-B31)&gt;$C$23,$C$23,F31+B32-B31)))</f>
        <v>8.8000000000000007</v>
      </c>
    </row>
    <row r="33" spans="1:11" x14ac:dyDescent="0.2">
      <c r="A33" s="14">
        <v>44562</v>
      </c>
      <c r="B33" s="62">
        <v>9.1750000000000007</v>
      </c>
      <c r="D33" s="63"/>
      <c r="E33" s="66"/>
      <c r="F33" s="64">
        <f t="shared" si="2"/>
        <v>7.9750000000000014</v>
      </c>
      <c r="G33" s="59"/>
      <c r="H33" s="64">
        <f t="shared" si="3"/>
        <v>0</v>
      </c>
      <c r="I33" s="63"/>
      <c r="K33" s="63">
        <f t="shared" si="4"/>
        <v>7.9750000000000014</v>
      </c>
    </row>
    <row r="34" spans="1:11" x14ac:dyDescent="0.2">
      <c r="A34" s="14">
        <v>44593</v>
      </c>
      <c r="B34" s="62">
        <v>8.8875000000000011</v>
      </c>
      <c r="C34" s="63"/>
      <c r="D34" s="63"/>
      <c r="E34" s="66"/>
      <c r="F34" s="64">
        <f t="shared" si="2"/>
        <v>7.6875000000000036</v>
      </c>
      <c r="G34" s="76" t="s">
        <v>93</v>
      </c>
      <c r="H34" s="64">
        <f t="shared" si="3"/>
        <v>0</v>
      </c>
      <c r="I34" s="63"/>
      <c r="K34" s="63">
        <f t="shared" si="4"/>
        <v>7.6875000000000036</v>
      </c>
    </row>
    <row r="35" spans="1:11" x14ac:dyDescent="0.2">
      <c r="A35" s="14">
        <v>44621</v>
      </c>
      <c r="B35" s="62">
        <v>8.6375000000000011</v>
      </c>
      <c r="D35" s="63"/>
      <c r="E35" s="66"/>
      <c r="F35" s="64">
        <f t="shared" si="2"/>
        <v>8.6375000000000011</v>
      </c>
      <c r="G35" s="59"/>
      <c r="H35" s="64">
        <f t="shared" si="3"/>
        <v>0</v>
      </c>
      <c r="I35" s="63"/>
      <c r="K35" s="63">
        <f t="shared" si="4"/>
        <v>8.6375000000000011</v>
      </c>
    </row>
    <row r="36" spans="1:11" x14ac:dyDescent="0.2">
      <c r="A36" s="14">
        <v>44652</v>
      </c>
      <c r="B36" s="62">
        <v>8.7275000000000009</v>
      </c>
      <c r="D36" s="63"/>
      <c r="E36" s="66"/>
      <c r="F36" s="64">
        <f t="shared" si="2"/>
        <v>8.7275000000000009</v>
      </c>
      <c r="G36" s="59"/>
      <c r="H36" s="64">
        <f t="shared" si="3"/>
        <v>0</v>
      </c>
      <c r="I36" s="63"/>
      <c r="K36" s="63">
        <f t="shared" si="4"/>
        <v>8.7275000000000009</v>
      </c>
    </row>
    <row r="37" spans="1:11" x14ac:dyDescent="0.2">
      <c r="A37" s="14">
        <v>44682</v>
      </c>
      <c r="B37" s="62">
        <v>10.557500000000001</v>
      </c>
      <c r="D37" s="63"/>
      <c r="E37" s="66"/>
      <c r="F37" s="64">
        <f t="shared" si="2"/>
        <v>8.8000000000000007</v>
      </c>
      <c r="G37" s="59"/>
      <c r="H37" s="64">
        <f t="shared" si="3"/>
        <v>1.7575000000000003</v>
      </c>
      <c r="I37" s="63"/>
      <c r="K37" s="63">
        <f t="shared" si="4"/>
        <v>8.8000000000000007</v>
      </c>
    </row>
    <row r="38" spans="1:11" x14ac:dyDescent="0.2">
      <c r="A38" s="14">
        <v>44713</v>
      </c>
      <c r="B38" s="62">
        <v>12.250000000000002</v>
      </c>
      <c r="D38" s="63"/>
      <c r="E38" s="66"/>
      <c r="F38" s="64">
        <f t="shared" si="2"/>
        <v>8.8000000000000007</v>
      </c>
      <c r="G38" s="59"/>
      <c r="H38" s="64">
        <f t="shared" si="3"/>
        <v>1.6925000000000008</v>
      </c>
      <c r="I38" s="63"/>
      <c r="K38" s="63">
        <f t="shared" si="4"/>
        <v>8.8000000000000007</v>
      </c>
    </row>
    <row r="39" spans="1:11" x14ac:dyDescent="0.2">
      <c r="A39" s="14">
        <v>44743</v>
      </c>
      <c r="B39" s="62">
        <v>13.865000000000002</v>
      </c>
      <c r="D39" s="63"/>
      <c r="E39" s="66"/>
      <c r="F39" s="64">
        <f t="shared" si="2"/>
        <v>8.8000000000000007</v>
      </c>
      <c r="G39" s="59"/>
      <c r="H39" s="64">
        <f t="shared" si="3"/>
        <v>1.6150000000000002</v>
      </c>
      <c r="I39" s="63"/>
      <c r="K39" s="63">
        <f t="shared" si="4"/>
        <v>8.8000000000000007</v>
      </c>
    </row>
    <row r="40" spans="1:11" x14ac:dyDescent="0.2">
      <c r="A40" s="14">
        <v>44774</v>
      </c>
      <c r="B40" s="62">
        <v>15.202500000000002</v>
      </c>
      <c r="D40" s="63"/>
      <c r="E40" s="66"/>
      <c r="F40" s="64">
        <f t="shared" si="2"/>
        <v>8.8000000000000007</v>
      </c>
      <c r="G40" s="59"/>
      <c r="H40" s="64">
        <f t="shared" si="3"/>
        <v>1.3375000000000004</v>
      </c>
      <c r="I40" s="63"/>
      <c r="K40" s="63">
        <f t="shared" si="4"/>
        <v>8.8000000000000007</v>
      </c>
    </row>
    <row r="41" spans="1:11" x14ac:dyDescent="0.2">
      <c r="A41" s="14">
        <v>44805</v>
      </c>
      <c r="B41" s="62">
        <v>15.832500000000003</v>
      </c>
      <c r="D41" s="63"/>
      <c r="E41" s="66"/>
      <c r="F41" s="64">
        <f t="shared" si="2"/>
        <v>8.8000000000000007</v>
      </c>
      <c r="G41" s="59"/>
      <c r="H41" s="64">
        <f t="shared" si="3"/>
        <v>0.63000000000000078</v>
      </c>
      <c r="I41" s="63"/>
      <c r="K41" s="63">
        <f t="shared" si="4"/>
        <v>8.8000000000000007</v>
      </c>
    </row>
    <row r="42" spans="1:11" x14ac:dyDescent="0.2">
      <c r="A42" s="73"/>
      <c r="B42" s="62"/>
      <c r="D42" s="63"/>
      <c r="E42" s="66"/>
      <c r="F42" s="64"/>
      <c r="G42" s="59"/>
      <c r="H42" s="74">
        <f>SUM(H30:H41)</f>
        <v>8.2325000000000017</v>
      </c>
      <c r="I42" s="63"/>
    </row>
    <row r="43" spans="1:11" x14ac:dyDescent="0.2">
      <c r="F43" s="60" t="s">
        <v>112</v>
      </c>
      <c r="H43" s="60" t="s">
        <v>113</v>
      </c>
    </row>
  </sheetData>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
  <sheetViews>
    <sheetView workbookViewId="0">
      <selection activeCell="K7" sqref="K7"/>
    </sheetView>
  </sheetViews>
  <sheetFormatPr baseColWidth="10" defaultRowHeight="15" x14ac:dyDescent="0.25"/>
  <sheetData>
    <row r="1" spans="1:9" ht="110.25" customHeight="1" x14ac:dyDescent="0.25">
      <c r="A1" s="96" t="s">
        <v>130</v>
      </c>
      <c r="B1" s="96"/>
      <c r="C1" s="96"/>
      <c r="D1" s="96"/>
      <c r="E1" s="96"/>
      <c r="F1" s="96"/>
      <c r="G1" s="96"/>
      <c r="H1" s="96"/>
      <c r="I1" s="96"/>
    </row>
    <row r="2" spans="1:9" x14ac:dyDescent="0.25">
      <c r="A2" s="88"/>
      <c r="B2" s="88"/>
      <c r="C2" s="88"/>
      <c r="D2" s="88"/>
      <c r="E2" s="88"/>
      <c r="F2" s="88"/>
      <c r="G2" s="88"/>
      <c r="H2" s="88"/>
      <c r="I2" s="88"/>
    </row>
  </sheetData>
  <sheetProtection password="DDE6" sheet="1" objects="1" scenarios="1"/>
  <mergeCells count="1">
    <mergeCell ref="A1:I1"/>
  </mergeCells>
  <pageMargins left="0.7" right="0.7" top="0.78740157499999996" bottom="0.78740157499999996"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Diagramme</vt:lpstr>
      </vt:variant>
      <vt:variant>
        <vt:i4>2</vt:i4>
      </vt:variant>
    </vt:vector>
  </HeadingPairs>
  <TitlesOfParts>
    <vt:vector size="8" baseType="lpstr">
      <vt:lpstr>Info</vt:lpstr>
      <vt:lpstr>Eingabemaske &amp; Liniendia</vt:lpstr>
      <vt:lpstr>Eingabemaske &amp; Liniendia (2)</vt:lpstr>
      <vt:lpstr>Tabelle1</vt:lpstr>
      <vt:lpstr>Tabelle1 (2)</vt:lpstr>
      <vt:lpstr>Speicherauffüllung &amp; Entnahme</vt:lpstr>
      <vt:lpstr>Liniendiagramm</vt:lpstr>
      <vt:lpstr>Säulendiagramm</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René Weiersmüller</dc:creator>
  <cp:lastModifiedBy>René Weiersmüller</cp:lastModifiedBy>
  <cp:lastPrinted>2023-02-24T16:51:16Z</cp:lastPrinted>
  <dcterms:created xsi:type="dcterms:W3CDTF">2023-01-16T13:55:21Z</dcterms:created>
  <dcterms:modified xsi:type="dcterms:W3CDTF">2023-03-23T14:54:20Z</dcterms:modified>
</cp:coreProperties>
</file>